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3 SEPT 19\SEPTEMBER\"/>
    </mc:Choice>
  </mc:AlternateContent>
  <xr:revisionPtr revIDLastSave="0" documentId="13_ncr:1_{5FEFB1C4-200B-4F31-B175-3C1229543075}" xr6:coauthVersionLast="44" xr6:coauthVersionMax="44" xr10:uidLastSave="{00000000-0000-0000-0000-000000000000}"/>
  <bookViews>
    <workbookView xWindow="-120" yWindow="-120" windowWidth="24240" windowHeight="13140" activeTab="2" xr2:uid="{00000000-000D-0000-FFFF-FFFF00000000}"/>
  </bookViews>
  <sheets>
    <sheet name="copas" sheetId="4" r:id="rId1"/>
    <sheet name="Sheet1" sheetId="1" r:id="rId2"/>
    <sheet name="REG" sheetId="2" r:id="rId3"/>
    <sheet name="detail" sheetId="3" r:id="rId4"/>
  </sheets>
  <externalReferences>
    <externalReference r:id="rId5"/>
  </externalReferences>
  <definedNames>
    <definedName name="_xlnm.Print_Area" localSheetId="3">detail!$A$1:$N$36</definedName>
    <definedName name="_xlnm.Print_Area" localSheetId="2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N33" i="2"/>
  <c r="A33" i="2" s="1"/>
  <c r="M43" i="2" l="1"/>
  <c r="A35" i="2"/>
  <c r="N34" i="2"/>
  <c r="I34" i="2"/>
  <c r="D34" i="2"/>
  <c r="C34" i="2"/>
  <c r="B34" i="2"/>
  <c r="I33" i="2"/>
  <c r="D33" i="2"/>
  <c r="C33" i="2"/>
  <c r="B33" i="2"/>
  <c r="A34" i="2" l="1"/>
  <c r="L34" i="2" s="1"/>
  <c r="L33" i="2"/>
  <c r="A3" i="1" l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27" i="1" l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7" i="1"/>
  <c r="B7" i="1"/>
  <c r="C7" i="1"/>
  <c r="D7" i="1"/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8" i="2"/>
  <c r="F27" i="1"/>
  <c r="F28" i="1"/>
  <c r="F29" i="1"/>
  <c r="F30" i="1"/>
  <c r="K3" i="1"/>
  <c r="D9" i="2" s="1"/>
  <c r="K4" i="1"/>
  <c r="D10" i="2" s="1"/>
  <c r="K5" i="1"/>
  <c r="D11" i="2" s="1"/>
  <c r="K6" i="1"/>
  <c r="D12" i="2" s="1"/>
  <c r="K7" i="1"/>
  <c r="D13" i="2" s="1"/>
  <c r="K8" i="1"/>
  <c r="D14" i="2" s="1"/>
  <c r="K9" i="1"/>
  <c r="D15" i="2" s="1"/>
  <c r="K10" i="1"/>
  <c r="D16" i="2" s="1"/>
  <c r="K11" i="1"/>
  <c r="D17" i="2" s="1"/>
  <c r="K12" i="1"/>
  <c r="D18" i="2" s="1"/>
  <c r="K13" i="1"/>
  <c r="D19" i="2" s="1"/>
  <c r="K14" i="1"/>
  <c r="D20" i="2" s="1"/>
  <c r="K15" i="1"/>
  <c r="D21" i="2" s="1"/>
  <c r="K16" i="1"/>
  <c r="D22" i="2" s="1"/>
  <c r="K17" i="1"/>
  <c r="D23" i="2" s="1"/>
  <c r="K18" i="1"/>
  <c r="D24" i="2" s="1"/>
  <c r="K19" i="1"/>
  <c r="D25" i="2" s="1"/>
  <c r="K20" i="1"/>
  <c r="D26" i="2" s="1"/>
  <c r="K21" i="1"/>
  <c r="D27" i="2" s="1"/>
  <c r="K22" i="1"/>
  <c r="D28" i="2" s="1"/>
  <c r="K23" i="1"/>
  <c r="D29" i="2" s="1"/>
  <c r="K24" i="1"/>
  <c r="D30" i="2" s="1"/>
  <c r="K25" i="1"/>
  <c r="D31" i="2" s="1"/>
  <c r="K26" i="1"/>
  <c r="D32" i="2" s="1"/>
  <c r="K27" i="1"/>
  <c r="K28" i="1"/>
  <c r="K29" i="1"/>
  <c r="K30" i="1"/>
  <c r="K2" i="1"/>
  <c r="D8" i="2" s="1"/>
  <c r="J3" i="1"/>
  <c r="C9" i="2" s="1"/>
  <c r="J4" i="1"/>
  <c r="C10" i="2" s="1"/>
  <c r="J5" i="1"/>
  <c r="C11" i="2" s="1"/>
  <c r="J6" i="1"/>
  <c r="C12" i="2" s="1"/>
  <c r="J7" i="1"/>
  <c r="C13" i="2" s="1"/>
  <c r="J8" i="1"/>
  <c r="C14" i="2" s="1"/>
  <c r="J9" i="1"/>
  <c r="C15" i="2" s="1"/>
  <c r="J10" i="1"/>
  <c r="C16" i="2" s="1"/>
  <c r="J11" i="1"/>
  <c r="C17" i="2" s="1"/>
  <c r="J12" i="1"/>
  <c r="C18" i="2" s="1"/>
  <c r="J13" i="1"/>
  <c r="C19" i="2" s="1"/>
  <c r="J14" i="1"/>
  <c r="C20" i="2" s="1"/>
  <c r="J15" i="1"/>
  <c r="C21" i="2" s="1"/>
  <c r="J16" i="1"/>
  <c r="C22" i="2" s="1"/>
  <c r="J17" i="1"/>
  <c r="C23" i="2" s="1"/>
  <c r="J18" i="1"/>
  <c r="C24" i="2" s="1"/>
  <c r="J19" i="1"/>
  <c r="C25" i="2" s="1"/>
  <c r="J20" i="1"/>
  <c r="C26" i="2" s="1"/>
  <c r="J21" i="1"/>
  <c r="C27" i="2" s="1"/>
  <c r="J22" i="1"/>
  <c r="C28" i="2" s="1"/>
  <c r="J23" i="1"/>
  <c r="C29" i="2" s="1"/>
  <c r="J24" i="1"/>
  <c r="C30" i="2" s="1"/>
  <c r="J25" i="1"/>
  <c r="C31" i="2" s="1"/>
  <c r="J26" i="1"/>
  <c r="C32" i="2" s="1"/>
  <c r="J27" i="1"/>
  <c r="J28" i="1"/>
  <c r="J29" i="1"/>
  <c r="J30" i="1"/>
  <c r="J2" i="1"/>
  <c r="C8" i="2" s="1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E3" i="1"/>
  <c r="F3" i="1"/>
  <c r="G3" i="1"/>
  <c r="H3" i="1"/>
  <c r="I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E4" i="1"/>
  <c r="F4" i="1"/>
  <c r="G4" i="1"/>
  <c r="H4" i="1"/>
  <c r="I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E5" i="1"/>
  <c r="F5" i="1"/>
  <c r="G5" i="1"/>
  <c r="H5" i="1"/>
  <c r="I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E6" i="1"/>
  <c r="F6" i="1"/>
  <c r="G6" i="1"/>
  <c r="H6" i="1"/>
  <c r="I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E7" i="1"/>
  <c r="F7" i="1"/>
  <c r="G7" i="1"/>
  <c r="H7" i="1"/>
  <c r="I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F8" i="1"/>
  <c r="G8" i="1"/>
  <c r="H8" i="1"/>
  <c r="I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F9" i="1"/>
  <c r="G9" i="1"/>
  <c r="H9" i="1"/>
  <c r="I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F10" i="1"/>
  <c r="G10" i="1"/>
  <c r="H10" i="1"/>
  <c r="I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F11" i="1"/>
  <c r="G11" i="1"/>
  <c r="H11" i="1"/>
  <c r="I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F12" i="1"/>
  <c r="G12" i="1"/>
  <c r="H12" i="1"/>
  <c r="I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F13" i="1"/>
  <c r="G13" i="1"/>
  <c r="H13" i="1"/>
  <c r="I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F14" i="1"/>
  <c r="G14" i="1"/>
  <c r="H14" i="1"/>
  <c r="I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F15" i="1"/>
  <c r="G15" i="1"/>
  <c r="H15" i="1"/>
  <c r="I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F16" i="1"/>
  <c r="G16" i="1"/>
  <c r="H16" i="1"/>
  <c r="I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F17" i="1"/>
  <c r="G17" i="1"/>
  <c r="H17" i="1"/>
  <c r="I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F18" i="1"/>
  <c r="G18" i="1"/>
  <c r="H18" i="1"/>
  <c r="I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F19" i="1"/>
  <c r="G19" i="1"/>
  <c r="H19" i="1"/>
  <c r="I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F20" i="1"/>
  <c r="G20" i="1"/>
  <c r="H20" i="1"/>
  <c r="I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F21" i="1"/>
  <c r="G21" i="1"/>
  <c r="H21" i="1"/>
  <c r="I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F22" i="1"/>
  <c r="G22" i="1"/>
  <c r="H22" i="1"/>
  <c r="I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F23" i="1"/>
  <c r="G23" i="1"/>
  <c r="H23" i="1"/>
  <c r="I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F24" i="1"/>
  <c r="G24" i="1"/>
  <c r="H24" i="1"/>
  <c r="I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F25" i="1"/>
  <c r="G25" i="1"/>
  <c r="H25" i="1"/>
  <c r="I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F26" i="1"/>
  <c r="G26" i="1"/>
  <c r="H26" i="1"/>
  <c r="I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G27" i="1"/>
  <c r="H27" i="1"/>
  <c r="I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G28" i="1"/>
  <c r="H28" i="1"/>
  <c r="I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G29" i="1"/>
  <c r="H29" i="1"/>
  <c r="I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G30" i="1"/>
  <c r="H30" i="1"/>
  <c r="I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L31" i="4" l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N31" i="2"/>
  <c r="A31" i="2" s="1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A9" i="2" s="1"/>
  <c r="N10" i="2"/>
  <c r="A10" i="2" s="1"/>
  <c r="N11" i="2"/>
  <c r="A11" i="2" s="1"/>
  <c r="N12" i="2"/>
  <c r="A12" i="2" s="1"/>
  <c r="N13" i="2"/>
  <c r="A13" i="2" s="1"/>
  <c r="N14" i="2"/>
  <c r="A14" i="2" s="1"/>
  <c r="N15" i="2"/>
  <c r="A15" i="2" s="1"/>
  <c r="N16" i="2"/>
  <c r="A16" i="2" s="1"/>
  <c r="N17" i="2"/>
  <c r="A17" i="2" s="1"/>
  <c r="N18" i="2"/>
  <c r="A18" i="2" s="1"/>
  <c r="N19" i="2"/>
  <c r="A19" i="2" s="1"/>
  <c r="N20" i="2"/>
  <c r="A20" i="2" s="1"/>
  <c r="N21" i="2"/>
  <c r="A21" i="2" s="1"/>
  <c r="N22" i="2"/>
  <c r="A22" i="2" s="1"/>
  <c r="N23" i="2"/>
  <c r="A23" i="2" s="1"/>
  <c r="N24" i="2"/>
  <c r="A24" i="2" s="1"/>
  <c r="N25" i="2"/>
  <c r="A25" i="2" s="1"/>
  <c r="N26" i="2"/>
  <c r="A26" i="2" s="1"/>
  <c r="N27" i="2"/>
  <c r="A27" i="2" s="1"/>
  <c r="N28" i="2"/>
  <c r="A28" i="2" s="1"/>
  <c r="N29" i="2"/>
  <c r="A29" i="2" s="1"/>
  <c r="N30" i="2"/>
  <c r="A30" i="2" s="1"/>
  <c r="N32" i="2"/>
  <c r="N8" i="2"/>
  <c r="A8" i="2" s="1"/>
  <c r="A32" i="2" l="1"/>
  <c r="N40" i="2"/>
  <c r="N41" i="2" s="1"/>
  <c r="I43" i="2" s="1"/>
  <c r="AA35" i="3"/>
  <c r="AA36" i="3" s="1"/>
  <c r="X36" i="3"/>
  <c r="V35" i="3"/>
  <c r="V36" i="3" s="1"/>
  <c r="K35" i="3" s="1"/>
  <c r="T34" i="2"/>
  <c r="L35" i="3" l="1"/>
  <c r="AB36" i="3"/>
  <c r="L11" i="2"/>
  <c r="AD5" i="4" s="1"/>
  <c r="AD5" i="1" s="1"/>
  <c r="L12" i="2"/>
  <c r="AD6" i="4" s="1"/>
  <c r="AD6" i="1" s="1"/>
  <c r="L15" i="2"/>
  <c r="AD9" i="4" s="1"/>
  <c r="AD9" i="1" s="1"/>
  <c r="L16" i="2"/>
  <c r="AD10" i="4" s="1"/>
  <c r="AD10" i="1" s="1"/>
  <c r="L17" i="2"/>
  <c r="AD11" i="4" s="1"/>
  <c r="AD11" i="1" s="1"/>
  <c r="L18" i="2"/>
  <c r="AD12" i="4" s="1"/>
  <c r="AD12" i="1" s="1"/>
  <c r="L19" i="2"/>
  <c r="AD13" i="4" s="1"/>
  <c r="AD13" i="1" s="1"/>
  <c r="L21" i="2"/>
  <c r="AD15" i="4" s="1"/>
  <c r="AD15" i="1" s="1"/>
  <c r="L22" i="2"/>
  <c r="AD16" i="4" s="1"/>
  <c r="AD16" i="1" s="1"/>
  <c r="L23" i="2"/>
  <c r="AD17" i="4" s="1"/>
  <c r="AD17" i="1" s="1"/>
  <c r="L24" i="2"/>
  <c r="AD18" i="4" s="1"/>
  <c r="AD18" i="1" s="1"/>
  <c r="L25" i="2"/>
  <c r="AD19" i="4" s="1"/>
  <c r="AD19" i="1" s="1"/>
  <c r="L26" i="2"/>
  <c r="AD20" i="4" s="1"/>
  <c r="AD20" i="1" s="1"/>
  <c r="L27" i="2"/>
  <c r="AD21" i="4" s="1"/>
  <c r="AD21" i="1" s="1"/>
  <c r="L28" i="2"/>
  <c r="AD22" i="4" s="1"/>
  <c r="AD22" i="1" s="1"/>
  <c r="L29" i="2"/>
  <c r="AD23" i="4" s="1"/>
  <c r="AD23" i="1" s="1"/>
  <c r="L30" i="2"/>
  <c r="AD24" i="4" s="1"/>
  <c r="AD24" i="1" s="1"/>
  <c r="L32" i="2"/>
  <c r="AD26" i="4" s="1"/>
  <c r="AD26" i="1" s="1"/>
  <c r="L9" i="2"/>
  <c r="AD3" i="4" s="1"/>
  <c r="AD3" i="1" s="1"/>
  <c r="L10" i="2"/>
  <c r="AD4" i="4" s="1"/>
  <c r="AD4" i="1" s="1"/>
  <c r="L13" i="2"/>
  <c r="AD7" i="4" s="1"/>
  <c r="AD7" i="1" s="1"/>
  <c r="L14" i="2"/>
  <c r="AD8" i="4" s="1"/>
  <c r="AD8" i="1" s="1"/>
  <c r="L31" i="2" l="1"/>
  <c r="AD25" i="4" s="1"/>
  <c r="AD25" i="1" s="1"/>
  <c r="L20" i="2"/>
  <c r="AD14" i="4" s="1"/>
  <c r="AD14" i="1" s="1"/>
  <c r="O2" i="2" l="1"/>
  <c r="P42" i="2"/>
  <c r="Q41" i="2"/>
  <c r="O41" i="2"/>
  <c r="P41" i="2"/>
  <c r="B2" i="3"/>
  <c r="L8" i="2"/>
  <c r="AD2" i="4" s="1"/>
  <c r="AD2" i="1" s="1"/>
  <c r="M2" i="2"/>
  <c r="G4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8" i="2"/>
  <c r="B2" i="2" l="1"/>
  <c r="O43" i="2"/>
  <c r="S43" i="2"/>
  <c r="N44" i="2"/>
  <c r="Q43" i="2"/>
  <c r="P43" i="2"/>
  <c r="R43" i="2" s="1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33" i="2"/>
  <c r="J33" i="2" s="1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M42" i="2" l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Y33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U11" i="2" l="1"/>
  <c r="W11" i="2" s="1"/>
  <c r="V20" i="2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V32" i="2"/>
  <c r="X32" i="2" s="1"/>
  <c r="U12" i="2"/>
  <c r="W12" i="2" s="1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S35" i="2" l="1"/>
  <c r="S36" i="2" s="1"/>
  <c r="R35" i="2"/>
  <c r="R36" i="2" s="1"/>
  <c r="P36" i="2" s="1"/>
  <c r="P38" i="2" l="1"/>
  <c r="I35" i="2" s="1"/>
  <c r="Z8" i="2"/>
  <c r="Z35" i="2" s="1"/>
  <c r="C8" i="3"/>
  <c r="J8" i="2" l="1"/>
  <c r="Y8" i="2" s="1"/>
  <c r="Y35" i="2" s="1"/>
  <c r="AA8" i="2"/>
  <c r="U8" i="2" l="1"/>
  <c r="W8" i="2" s="1"/>
  <c r="U35" i="2" s="1"/>
  <c r="V8" i="2"/>
  <c r="X8" i="2" s="1"/>
  <c r="V35" i="2" s="1"/>
  <c r="W35" i="2" l="1"/>
  <c r="W36" i="2" s="1"/>
  <c r="U36" i="2" s="1"/>
  <c r="J35" i="2" s="1"/>
  <c r="X35" i="2"/>
  <c r="X36" i="2" s="1"/>
  <c r="Y36" i="2" l="1"/>
</calcChain>
</file>

<file path=xl/sharedStrings.xml><?xml version="1.0" encoding="utf-8"?>
<sst xmlns="http://schemas.openxmlformats.org/spreadsheetml/2006/main" count="458" uniqueCount="88">
  <si>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</si>
  <si>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</si>
  <si>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</si>
  <si>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</si>
  <si>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</si>
  <si>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</si>
  <si>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</si>
  <si>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</si>
  <si>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</si>
  <si>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</si>
  <si>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</si>
  <si>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</si>
  <si>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</si>
  <si>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</si>
  <si>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</si>
  <si>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</si>
  <si>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</si>
  <si>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</si>
  <si>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</si>
  <si>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</si>
  <si>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</si>
  <si>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</si>
  <si>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</si>
  <si>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</si>
  <si>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</si>
  <si>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</si>
  <si>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</si>
  <si>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</si>
  <si>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</si>
  <si>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</si>
  <si>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</si>
  <si>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</si>
  <si>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</si>
  <si>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</si>
  <si>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</si>
  <si>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</si>
  <si>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</si>
  <si>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</si>
  <si>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</si>
  <si>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</si>
  <si>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</si>
  <si>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</si>
  <si>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</si>
  <si>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</si>
  <si>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</si>
  <si>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</si>
  <si>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</si>
  <si>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</si>
  <si>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</si>
  <si>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</si>
  <si>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</si>
  <si>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</si>
  <si>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</si>
  <si>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</si>
  <si>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</si>
  <si>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</si>
  <si>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</si>
  <si>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</si>
  <si>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</si>
  <si>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</si>
  <si>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</si>
  <si>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</si>
  <si>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</si>
  <si>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</si>
  <si>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</si>
  <si>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</si>
  <si>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</si>
  <si>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</si>
  <si>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</si>
  <si>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</si>
  <si>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</si>
  <si>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</si>
  <si>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</si>
  <si>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</si>
  <si>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</si>
  <si>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</si>
  <si>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</si>
  <si>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</si>
  <si>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</si>
  <si>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</si>
  <si>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</si>
  <si>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</si>
  <si>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PULANG</t>
  </si>
  <si>
    <t>MASUK</t>
  </si>
  <si>
    <t>78</t>
  </si>
  <si>
    <t>17</t>
  </si>
  <si>
    <t>20521001187003</t>
  </si>
  <si>
    <t>EVI NUNING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</si>
</sst>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35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14" fontId="25" fillId="0" borderId="0" xfId="3" applyNumberFormat="1" applyFont="1"/>
    <xf numFmtId="20" fontId="25" fillId="0" borderId="0" xfId="3" applyNumberFormat="1" applyFont="1"/>
    <xf numFmtId="0" fontId="25" fillId="0" borderId="0" xfId="3" applyFont="1"/>
    <xf numFmtId="0" fontId="29" fillId="0" borderId="0" xfId="3" applyFont="1"/>
    <xf numFmtId="167" fontId="25" fillId="0" borderId="0" xfId="3" applyNumberFormat="1" applyFont="1"/>
    <xf numFmtId="167" fontId="0" fillId="0" borderId="1" xfId="0" applyNumberFormat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168" fontId="25" fillId="0" borderId="0" xfId="3" applyNumberFormat="1" applyFont="1"/>
    <xf numFmtId="20" fontId="12" fillId="3" borderId="0" xfId="0" applyNumberFormat="1" applyFont="1" applyFill="1" applyAlignment="1">
      <alignment horizontal="center" vertical="center"/>
    </xf>
    <xf numFmtId="20" fontId="12" fillId="0" borderId="0" xfId="0" applyNumberFormat="1" applyFont="1" applyAlignment="1">
      <alignment horizontal="center" vertical="center"/>
    </xf>
    <xf numFmtId="20" fontId="12" fillId="2" borderId="0" xfId="0" applyNumberFormat="1" applyFont="1" applyFill="1" applyAlignment="1">
      <alignment horizontal="center" vertical="center"/>
    </xf>
    <xf numFmtId="0" fontId="25" fillId="0" borderId="0" xfId="3"/>
    <xf numFmtId="0" fontId="12" fillId="0" borderId="0" xfId="0" applyFont="1" applyAlignment="1" applyProtection="1">
      <alignment horizontal="center" vertical="center"/>
    </xf>
    <xf numFmtId="1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0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FINGER%2019.20/2019.2020/03%20SEPT%2019/FINGER%20(ID%20FORMAT)%20AGS%2019%20-%20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as"/>
      <sheetName val="Sheet1"/>
      <sheetName val="REG"/>
      <sheetName val="detail"/>
    </sheetNames>
    <sheetDataSet>
      <sheetData sheetId="0"/>
      <sheetData sheetId="1">
        <row r="27">
          <cell r="H27" t="str">
            <v/>
          </cell>
          <cell r="I27" t="str">
            <v/>
          </cell>
          <cell r="J27" t="e">
            <v>#VALUE!</v>
          </cell>
          <cell r="K27" t="e">
            <v>#VALUE!</v>
          </cell>
          <cell r="R27" t="str">
            <v/>
          </cell>
        </row>
        <row r="28">
          <cell r="H28" t="str">
            <v/>
          </cell>
          <cell r="I28" t="str">
            <v/>
          </cell>
          <cell r="J28" t="e">
            <v>#VALUE!</v>
          </cell>
          <cell r="K28" t="e">
            <v>#VALUE!</v>
          </cell>
          <cell r="R28" t="str">
            <v/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dimension ref="A1:AE62"/>
  <sheetViews>
    <sheetView topLeftCell="A7" zoomScale="85" zoomScaleNormal="85" workbookViewId="0">
      <selection activeCell="F27" sqref="F27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9" t="s">
        <v>55</v>
      </c>
      <c r="B1" s="109" t="s">
        <v>56</v>
      </c>
      <c r="C1" s="109" t="s">
        <v>53</v>
      </c>
      <c r="D1" s="109" t="s">
        <v>57</v>
      </c>
      <c r="E1" s="109" t="s">
        <v>54</v>
      </c>
      <c r="F1" s="109" t="s">
        <v>58</v>
      </c>
      <c r="G1" s="109" t="s">
        <v>59</v>
      </c>
      <c r="H1" s="109" t="s">
        <v>60</v>
      </c>
      <c r="I1" s="109" t="s">
        <v>61</v>
      </c>
      <c r="J1" s="109" t="s">
        <v>62</v>
      </c>
      <c r="K1" s="109" t="s">
        <v>63</v>
      </c>
      <c r="L1" s="109" t="s">
        <v>0</v>
      </c>
      <c r="M1" s="109" t="s">
        <v>64</v>
      </c>
      <c r="N1" s="109" t="s">
        <v>65</v>
      </c>
      <c r="O1" s="109" t="s">
        <v>66</v>
      </c>
      <c r="P1" s="109" t="s">
        <v>67</v>
      </c>
      <c r="Q1" s="109" t="s">
        <v>68</v>
      </c>
      <c r="R1" s="109" t="s">
        <v>69</v>
      </c>
      <c r="S1" s="109" t="s">
        <v>70</v>
      </c>
      <c r="T1" s="109" t="s">
        <v>71</v>
      </c>
      <c r="U1" s="109" t="s">
        <v>72</v>
      </c>
      <c r="V1" s="109" t="s">
        <v>73</v>
      </c>
      <c r="W1" s="109" t="s">
        <v>1</v>
      </c>
      <c r="X1" s="109" t="s">
        <v>74</v>
      </c>
      <c r="Y1" s="109" t="s">
        <v>75</v>
      </c>
      <c r="Z1" s="109" t="s">
        <v>76</v>
      </c>
      <c r="AA1" s="109" t="s">
        <v>2</v>
      </c>
      <c r="AB1" s="109" t="s">
        <v>77</v>
      </c>
      <c r="AC1" s="109" t="s">
        <v>78</v>
      </c>
      <c r="AD1" s="101"/>
    </row>
    <row r="2" spans="1:31" s="46" customFormat="1" ht="20.25" customHeight="1" x14ac:dyDescent="0.2">
      <c r="A2" s="117" t="s">
        <v>84</v>
      </c>
      <c r="B2" s="117" t="s">
        <v>85</v>
      </c>
      <c r="C2" s="117" t="s">
        <v>86</v>
      </c>
      <c r="D2" s="117" t="s">
        <v>87</v>
      </c>
      <c r="E2" s="108" t="s">
        <v>3</v>
      </c>
      <c r="F2" s="106">
        <v>43710</v>
      </c>
      <c r="G2" s="108" t="s">
        <v>51</v>
      </c>
      <c r="H2" s="114">
        <v>0.29166666666666669</v>
      </c>
      <c r="I2" s="114">
        <v>0.54166666666666663</v>
      </c>
      <c r="J2" s="114">
        <v>0.28194444444444444</v>
      </c>
      <c r="K2" s="114">
        <v>0.5708333333333333</v>
      </c>
      <c r="L2" s="103">
        <v>1</v>
      </c>
      <c r="M2" s="103">
        <v>1</v>
      </c>
      <c r="N2" s="103"/>
      <c r="O2" s="103"/>
      <c r="P2" s="103"/>
      <c r="Q2" s="103"/>
      <c r="R2" s="114">
        <v>0.25</v>
      </c>
      <c r="S2" s="103"/>
      <c r="T2" s="103" t="b">
        <v>1</v>
      </c>
      <c r="U2" s="103" t="b">
        <v>1</v>
      </c>
      <c r="V2" s="103" t="s">
        <v>4</v>
      </c>
      <c r="W2" s="103">
        <v>1</v>
      </c>
      <c r="X2" s="103"/>
      <c r="Y2" s="103"/>
      <c r="Z2" s="114">
        <v>0.28888888888888892</v>
      </c>
      <c r="AA2" s="103" t="s">
        <v>3</v>
      </c>
      <c r="AB2" s="103" t="s">
        <v>3</v>
      </c>
      <c r="AC2" s="103" t="s">
        <v>3</v>
      </c>
      <c r="AD2" s="103">
        <f>REG!L8</f>
        <v>2</v>
      </c>
      <c r="AE2" s="103"/>
    </row>
    <row r="3" spans="1:31" s="46" customFormat="1" ht="20.25" customHeight="1" x14ac:dyDescent="0.2">
      <c r="A3" s="117" t="s">
        <v>84</v>
      </c>
      <c r="B3" s="117" t="s">
        <v>85</v>
      </c>
      <c r="C3" s="117" t="s">
        <v>86</v>
      </c>
      <c r="D3" s="117" t="s">
        <v>87</v>
      </c>
      <c r="E3" s="108" t="s">
        <v>3</v>
      </c>
      <c r="F3" s="106">
        <v>43711</v>
      </c>
      <c r="G3" s="108" t="s">
        <v>51</v>
      </c>
      <c r="H3" s="115">
        <v>0.29166666666666669</v>
      </c>
      <c r="I3" s="115">
        <v>0.54166666666666663</v>
      </c>
      <c r="J3" s="115">
        <v>0.27847222222222223</v>
      </c>
      <c r="K3" s="115">
        <v>0.60902777777777783</v>
      </c>
      <c r="L3" s="46">
        <v>1</v>
      </c>
      <c r="M3" s="46">
        <v>1</v>
      </c>
      <c r="R3" s="115">
        <v>0.25</v>
      </c>
      <c r="T3" s="46" t="b">
        <v>1</v>
      </c>
      <c r="U3" s="46" t="b">
        <v>1</v>
      </c>
      <c r="V3" s="46" t="s">
        <v>4</v>
      </c>
      <c r="W3" s="46">
        <v>1</v>
      </c>
      <c r="Z3" s="115">
        <v>0.33055555555555555</v>
      </c>
      <c r="AA3" s="46" t="s">
        <v>3</v>
      </c>
      <c r="AB3" s="46" t="s">
        <v>3</v>
      </c>
      <c r="AC3" s="46" t="s">
        <v>3</v>
      </c>
      <c r="AD3" s="46">
        <f>REG!L9</f>
        <v>3</v>
      </c>
    </row>
    <row r="4" spans="1:31" s="46" customFormat="1" ht="20.25" customHeight="1" x14ac:dyDescent="0.2">
      <c r="A4" s="117" t="s">
        <v>84</v>
      </c>
      <c r="B4" s="117" t="s">
        <v>85</v>
      </c>
      <c r="C4" s="117" t="s">
        <v>86</v>
      </c>
      <c r="D4" s="117" t="s">
        <v>87</v>
      </c>
      <c r="E4" s="108" t="s">
        <v>3</v>
      </c>
      <c r="F4" s="106">
        <v>43712</v>
      </c>
      <c r="G4" s="108" t="s">
        <v>51</v>
      </c>
      <c r="H4" s="115">
        <v>0.29166666666666669</v>
      </c>
      <c r="I4" s="115">
        <v>0.54166666666666663</v>
      </c>
      <c r="J4" s="115">
        <v>0.26180555555555557</v>
      </c>
      <c r="K4" s="115">
        <v>0.56180555555555556</v>
      </c>
      <c r="L4" s="46">
        <v>1</v>
      </c>
      <c r="M4" s="46">
        <v>1</v>
      </c>
      <c r="R4" s="115">
        <v>0.25</v>
      </c>
      <c r="T4" s="46" t="b">
        <v>1</v>
      </c>
      <c r="U4" s="46" t="b">
        <v>1</v>
      </c>
      <c r="V4" s="46" t="s">
        <v>4</v>
      </c>
      <c r="W4" s="46">
        <v>1</v>
      </c>
      <c r="Z4" s="115">
        <v>0.3</v>
      </c>
      <c r="AA4" s="46" t="s">
        <v>3</v>
      </c>
      <c r="AB4" s="46" t="s">
        <v>3</v>
      </c>
      <c r="AC4" s="46" t="s">
        <v>3</v>
      </c>
      <c r="AD4" s="46">
        <f>REG!L10</f>
        <v>4</v>
      </c>
    </row>
    <row r="5" spans="1:31" s="46" customFormat="1" ht="20.25" customHeight="1" x14ac:dyDescent="0.2">
      <c r="A5" s="117" t="s">
        <v>84</v>
      </c>
      <c r="B5" s="117" t="s">
        <v>85</v>
      </c>
      <c r="C5" s="117" t="s">
        <v>86</v>
      </c>
      <c r="D5" s="117" t="s">
        <v>87</v>
      </c>
      <c r="E5" s="108" t="s">
        <v>3</v>
      </c>
      <c r="F5" s="106">
        <v>43713</v>
      </c>
      <c r="G5" s="108" t="s">
        <v>51</v>
      </c>
      <c r="H5" s="115">
        <v>0.29166666666666669</v>
      </c>
      <c r="I5" s="115">
        <v>0.54166666666666663</v>
      </c>
      <c r="J5" s="115">
        <v>0.27777777777777779</v>
      </c>
      <c r="K5" s="115">
        <v>0.57291666666666663</v>
      </c>
      <c r="L5" s="46">
        <v>1</v>
      </c>
      <c r="M5" s="46">
        <v>1</v>
      </c>
      <c r="R5" s="115">
        <v>0.25</v>
      </c>
      <c r="T5" s="46" t="b">
        <v>1</v>
      </c>
      <c r="U5" s="46" t="b">
        <v>1</v>
      </c>
      <c r="V5" s="46" t="s">
        <v>4</v>
      </c>
      <c r="W5" s="46">
        <v>1</v>
      </c>
      <c r="Z5" s="115">
        <v>0.2951388888888889</v>
      </c>
      <c r="AA5" s="46" t="s">
        <v>3</v>
      </c>
      <c r="AB5" s="46" t="s">
        <v>3</v>
      </c>
      <c r="AC5" s="46" t="s">
        <v>3</v>
      </c>
      <c r="AD5" s="46">
        <f>REG!L11</f>
        <v>5</v>
      </c>
    </row>
    <row r="6" spans="1:31" s="46" customFormat="1" ht="20.25" customHeight="1" x14ac:dyDescent="0.2">
      <c r="A6" s="117" t="s">
        <v>84</v>
      </c>
      <c r="B6" s="117" t="s">
        <v>85</v>
      </c>
      <c r="C6" s="117" t="s">
        <v>86</v>
      </c>
      <c r="D6" s="117" t="s">
        <v>87</v>
      </c>
      <c r="E6" s="108" t="s">
        <v>3</v>
      </c>
      <c r="F6" s="106">
        <v>43714</v>
      </c>
      <c r="G6" s="108" t="s">
        <v>79</v>
      </c>
      <c r="H6" s="115">
        <v>0.29166666666666669</v>
      </c>
      <c r="I6" s="115">
        <v>0.45833333333333331</v>
      </c>
      <c r="J6" s="115">
        <v>0.27847222222222223</v>
      </c>
      <c r="K6" s="115">
        <v>0.46736111111111112</v>
      </c>
      <c r="L6" s="46">
        <v>1</v>
      </c>
      <c r="M6" s="46">
        <v>1</v>
      </c>
      <c r="R6" s="115">
        <v>0.16666666666666666</v>
      </c>
      <c r="T6" s="46" t="b">
        <v>1</v>
      </c>
      <c r="U6" s="46" t="b">
        <v>1</v>
      </c>
      <c r="V6" s="46" t="s">
        <v>4</v>
      </c>
      <c r="W6" s="46">
        <v>1</v>
      </c>
      <c r="Z6" s="115">
        <v>0.18888888888888888</v>
      </c>
      <c r="AA6" s="46" t="s">
        <v>3</v>
      </c>
      <c r="AB6" s="46" t="s">
        <v>3</v>
      </c>
      <c r="AC6" s="46" t="s">
        <v>3</v>
      </c>
      <c r="AD6" s="46">
        <f>REG!L12</f>
        <v>6</v>
      </c>
    </row>
    <row r="7" spans="1:31" s="46" customFormat="1" ht="20.25" customHeight="1" x14ac:dyDescent="0.2">
      <c r="A7" s="117" t="s">
        <v>84</v>
      </c>
      <c r="B7" s="117" t="s">
        <v>85</v>
      </c>
      <c r="C7" s="117" t="s">
        <v>86</v>
      </c>
      <c r="D7" s="117" t="s">
        <v>87</v>
      </c>
      <c r="E7" s="108" t="s">
        <v>3</v>
      </c>
      <c r="F7" s="106">
        <v>43715</v>
      </c>
      <c r="G7" s="108" t="s">
        <v>80</v>
      </c>
      <c r="H7" s="116">
        <v>0.29166666666666669</v>
      </c>
      <c r="I7" s="116">
        <v>0.5</v>
      </c>
      <c r="J7" s="116">
        <v>0.28194444444444444</v>
      </c>
      <c r="K7" s="116">
        <v>0.5180555555555556</v>
      </c>
      <c r="L7" s="102">
        <v>1</v>
      </c>
      <c r="M7" s="102">
        <v>1</v>
      </c>
      <c r="N7" s="102"/>
      <c r="O7" s="102"/>
      <c r="P7" s="102"/>
      <c r="Q7" s="102"/>
      <c r="R7" s="116">
        <v>0.20833333333333334</v>
      </c>
      <c r="S7" s="102"/>
      <c r="T7" s="102" t="b">
        <v>1</v>
      </c>
      <c r="U7" s="102" t="b">
        <v>1</v>
      </c>
      <c r="V7" s="102" t="s">
        <v>4</v>
      </c>
      <c r="W7" s="102"/>
      <c r="X7" s="102">
        <v>1</v>
      </c>
      <c r="Y7" s="102"/>
      <c r="Z7" s="116">
        <v>0.23611111111111113</v>
      </c>
      <c r="AA7" s="102" t="s">
        <v>3</v>
      </c>
      <c r="AB7" s="102" t="s">
        <v>3</v>
      </c>
      <c r="AC7" s="102" t="s">
        <v>3</v>
      </c>
      <c r="AD7" s="102">
        <f>REG!L13</f>
        <v>7</v>
      </c>
      <c r="AE7" s="102"/>
    </row>
    <row r="8" spans="1:31" s="46" customFormat="1" ht="20.25" customHeight="1" x14ac:dyDescent="0.2">
      <c r="A8" s="117" t="s">
        <v>84</v>
      </c>
      <c r="B8" s="117" t="s">
        <v>85</v>
      </c>
      <c r="C8" s="117" t="s">
        <v>86</v>
      </c>
      <c r="D8" s="117" t="s">
        <v>87</v>
      </c>
      <c r="E8" s="108" t="s">
        <v>3</v>
      </c>
      <c r="F8" s="106">
        <v>43717</v>
      </c>
      <c r="G8" s="108" t="s">
        <v>51</v>
      </c>
      <c r="H8" s="114">
        <v>0.29166666666666669</v>
      </c>
      <c r="I8" s="114">
        <v>0.54166666666666663</v>
      </c>
      <c r="J8" s="114">
        <v>0.27152777777777776</v>
      </c>
      <c r="K8" s="114">
        <v>0.56805555555555554</v>
      </c>
      <c r="L8" s="103">
        <v>1</v>
      </c>
      <c r="M8" s="103">
        <v>1</v>
      </c>
      <c r="N8" s="103"/>
      <c r="O8" s="103"/>
      <c r="P8" s="103"/>
      <c r="Q8" s="103"/>
      <c r="R8" s="114">
        <v>0.25</v>
      </c>
      <c r="S8" s="103"/>
      <c r="T8" s="103" t="b">
        <v>1</v>
      </c>
      <c r="U8" s="103" t="b">
        <v>1</v>
      </c>
      <c r="V8" s="103" t="s">
        <v>4</v>
      </c>
      <c r="W8" s="103">
        <v>1</v>
      </c>
      <c r="X8" s="103"/>
      <c r="Y8" s="103"/>
      <c r="Z8" s="114">
        <v>0.29583333333333334</v>
      </c>
      <c r="AA8" s="103" t="s">
        <v>3</v>
      </c>
      <c r="AB8" s="103" t="s">
        <v>3</v>
      </c>
      <c r="AC8" s="103" t="s">
        <v>3</v>
      </c>
      <c r="AD8" s="103">
        <f>REG!L14</f>
        <v>2</v>
      </c>
      <c r="AE8" s="103"/>
    </row>
    <row r="9" spans="1:31" s="46" customFormat="1" ht="20.25" customHeight="1" x14ac:dyDescent="0.2">
      <c r="A9" s="117" t="s">
        <v>84</v>
      </c>
      <c r="B9" s="117" t="s">
        <v>85</v>
      </c>
      <c r="C9" s="117" t="s">
        <v>86</v>
      </c>
      <c r="D9" s="117" t="s">
        <v>87</v>
      </c>
      <c r="E9" s="108" t="s">
        <v>3</v>
      </c>
      <c r="F9" s="106">
        <v>43718</v>
      </c>
      <c r="G9" s="108" t="s">
        <v>51</v>
      </c>
      <c r="H9" s="115">
        <v>0.29166666666666669</v>
      </c>
      <c r="I9" s="115">
        <v>0.54166666666666663</v>
      </c>
      <c r="J9" s="115">
        <v>0.27847222222222223</v>
      </c>
      <c r="K9" s="115">
        <v>0.57986111111111105</v>
      </c>
      <c r="L9" s="46">
        <v>1</v>
      </c>
      <c r="M9" s="46">
        <v>1</v>
      </c>
      <c r="R9" s="115">
        <v>0.25</v>
      </c>
      <c r="T9" s="46" t="b">
        <v>1</v>
      </c>
      <c r="U9" s="46" t="b">
        <v>1</v>
      </c>
      <c r="V9" s="46" t="s">
        <v>4</v>
      </c>
      <c r="W9" s="46">
        <v>1</v>
      </c>
      <c r="Z9" s="115">
        <v>0.30138888888888887</v>
      </c>
      <c r="AA9" s="46" t="s">
        <v>3</v>
      </c>
      <c r="AB9" s="46" t="s">
        <v>3</v>
      </c>
      <c r="AC9" s="46" t="s">
        <v>3</v>
      </c>
      <c r="AD9" s="46">
        <f>REG!L15</f>
        <v>3</v>
      </c>
    </row>
    <row r="10" spans="1:31" s="46" customFormat="1" ht="20.25" customHeight="1" x14ac:dyDescent="0.2">
      <c r="A10" s="117" t="s">
        <v>84</v>
      </c>
      <c r="B10" s="117" t="s">
        <v>85</v>
      </c>
      <c r="C10" s="117" t="s">
        <v>86</v>
      </c>
      <c r="D10" s="117" t="s">
        <v>87</v>
      </c>
      <c r="E10" s="108" t="s">
        <v>3</v>
      </c>
      <c r="F10" s="106">
        <v>43719</v>
      </c>
      <c r="G10" s="108" t="s">
        <v>51</v>
      </c>
      <c r="H10" s="115">
        <v>0.29166666666666669</v>
      </c>
      <c r="I10" s="115">
        <v>0.54166666666666663</v>
      </c>
      <c r="J10" s="115">
        <v>0.27361111111111108</v>
      </c>
      <c r="K10" s="115">
        <v>0.59236111111111112</v>
      </c>
      <c r="L10" s="46">
        <v>1</v>
      </c>
      <c r="M10" s="46">
        <v>1</v>
      </c>
      <c r="R10" s="115">
        <v>0.25</v>
      </c>
      <c r="T10" s="46" t="b">
        <v>1</v>
      </c>
      <c r="U10" s="46" t="b">
        <v>1</v>
      </c>
      <c r="V10" s="46" t="s">
        <v>4</v>
      </c>
      <c r="W10" s="46">
        <v>1</v>
      </c>
      <c r="Z10" s="115">
        <v>0.31805555555555554</v>
      </c>
      <c r="AA10" s="46" t="s">
        <v>3</v>
      </c>
      <c r="AB10" s="46" t="s">
        <v>3</v>
      </c>
      <c r="AC10" s="46" t="s">
        <v>3</v>
      </c>
      <c r="AD10" s="46">
        <f>REG!L16</f>
        <v>4</v>
      </c>
    </row>
    <row r="11" spans="1:31" s="46" customFormat="1" ht="20.25" customHeight="1" x14ac:dyDescent="0.2">
      <c r="A11" s="117" t="s">
        <v>84</v>
      </c>
      <c r="B11" s="117" t="s">
        <v>85</v>
      </c>
      <c r="C11" s="117" t="s">
        <v>86</v>
      </c>
      <c r="D11" s="117" t="s">
        <v>87</v>
      </c>
      <c r="E11" s="108" t="s">
        <v>3</v>
      </c>
      <c r="F11" s="106">
        <v>43720</v>
      </c>
      <c r="G11" s="108" t="s">
        <v>51</v>
      </c>
      <c r="H11" s="115">
        <v>0.29166666666666669</v>
      </c>
      <c r="I11" s="115">
        <v>0.54166666666666663</v>
      </c>
      <c r="J11" s="115">
        <v>0.28194444444444444</v>
      </c>
      <c r="K11" s="115">
        <v>0.55972222222222223</v>
      </c>
      <c r="L11" s="46">
        <v>1</v>
      </c>
      <c r="M11" s="46">
        <v>1</v>
      </c>
      <c r="R11" s="115">
        <v>0.25</v>
      </c>
      <c r="T11" s="46" t="b">
        <v>1</v>
      </c>
      <c r="U11" s="46" t="b">
        <v>1</v>
      </c>
      <c r="V11" s="46" t="s">
        <v>4</v>
      </c>
      <c r="W11" s="46">
        <v>1</v>
      </c>
      <c r="Z11" s="115">
        <v>0.27708333333333335</v>
      </c>
      <c r="AA11" s="46" t="s">
        <v>3</v>
      </c>
      <c r="AB11" s="46" t="s">
        <v>3</v>
      </c>
      <c r="AC11" s="46" t="s">
        <v>3</v>
      </c>
      <c r="AD11" s="46">
        <f>REG!L17</f>
        <v>5</v>
      </c>
    </row>
    <row r="12" spans="1:31" s="46" customFormat="1" ht="20.25" customHeight="1" x14ac:dyDescent="0.2">
      <c r="A12" s="117" t="s">
        <v>84</v>
      </c>
      <c r="B12" s="117" t="s">
        <v>85</v>
      </c>
      <c r="C12" s="117" t="s">
        <v>86</v>
      </c>
      <c r="D12" s="117" t="s">
        <v>87</v>
      </c>
      <c r="E12" s="108" t="s">
        <v>3</v>
      </c>
      <c r="F12" s="106">
        <v>43721</v>
      </c>
      <c r="G12" s="108" t="s">
        <v>79</v>
      </c>
      <c r="H12" s="115">
        <v>0.29166666666666669</v>
      </c>
      <c r="I12" s="115">
        <v>0.45833333333333331</v>
      </c>
      <c r="J12" s="115">
        <v>0.27916666666666667</v>
      </c>
      <c r="K12" s="115">
        <v>0.4597222222222222</v>
      </c>
      <c r="L12" s="46">
        <v>1</v>
      </c>
      <c r="M12" s="46">
        <v>1</v>
      </c>
      <c r="R12" s="115">
        <v>0.16666666666666666</v>
      </c>
      <c r="T12" s="46" t="b">
        <v>1</v>
      </c>
      <c r="U12" s="46" t="b">
        <v>1</v>
      </c>
      <c r="V12" s="46" t="s">
        <v>4</v>
      </c>
      <c r="W12" s="46">
        <v>1</v>
      </c>
      <c r="Z12" s="115">
        <v>0.18055555555555555</v>
      </c>
      <c r="AA12" s="46" t="s">
        <v>3</v>
      </c>
      <c r="AB12" s="46" t="s">
        <v>3</v>
      </c>
      <c r="AC12" s="46" t="s">
        <v>3</v>
      </c>
      <c r="AD12" s="46">
        <f>REG!L18</f>
        <v>6</v>
      </c>
    </row>
    <row r="13" spans="1:31" s="46" customFormat="1" ht="20.25" customHeight="1" x14ac:dyDescent="0.2">
      <c r="A13" s="117" t="s">
        <v>84</v>
      </c>
      <c r="B13" s="117" t="s">
        <v>85</v>
      </c>
      <c r="C13" s="117" t="s">
        <v>86</v>
      </c>
      <c r="D13" s="117" t="s">
        <v>87</v>
      </c>
      <c r="E13" s="108" t="s">
        <v>3</v>
      </c>
      <c r="F13" s="106">
        <v>43722</v>
      </c>
      <c r="G13" s="108" t="s">
        <v>80</v>
      </c>
      <c r="H13" s="116">
        <v>0.29166666666666669</v>
      </c>
      <c r="I13" s="116">
        <v>0.5</v>
      </c>
      <c r="J13" s="116">
        <v>0.28472222222222221</v>
      </c>
      <c r="K13" s="116">
        <v>0.54652777777777783</v>
      </c>
      <c r="L13" s="102">
        <v>1</v>
      </c>
      <c r="M13" s="102">
        <v>1</v>
      </c>
      <c r="N13" s="102"/>
      <c r="O13" s="102"/>
      <c r="P13" s="102"/>
      <c r="Q13" s="102"/>
      <c r="R13" s="116">
        <v>0.20833333333333334</v>
      </c>
      <c r="S13" s="102"/>
      <c r="T13" s="102" t="b">
        <v>1</v>
      </c>
      <c r="U13" s="102" t="b">
        <v>1</v>
      </c>
      <c r="V13" s="102" t="s">
        <v>4</v>
      </c>
      <c r="W13" s="102"/>
      <c r="X13" s="102">
        <v>1</v>
      </c>
      <c r="Y13" s="102"/>
      <c r="Z13" s="116">
        <v>0.26180555555555557</v>
      </c>
      <c r="AA13" s="102" t="s">
        <v>3</v>
      </c>
      <c r="AB13" s="102" t="s">
        <v>3</v>
      </c>
      <c r="AC13" s="102" t="s">
        <v>3</v>
      </c>
      <c r="AD13" s="102">
        <f>REG!L19</f>
        <v>7</v>
      </c>
      <c r="AE13" s="102"/>
    </row>
    <row r="14" spans="1:31" s="46" customFormat="1" ht="20.25" customHeight="1" x14ac:dyDescent="0.2">
      <c r="A14" s="117" t="s">
        <v>84</v>
      </c>
      <c r="B14" s="117" t="s">
        <v>85</v>
      </c>
      <c r="C14" s="117" t="s">
        <v>86</v>
      </c>
      <c r="D14" s="117" t="s">
        <v>87</v>
      </c>
      <c r="E14" s="108" t="s">
        <v>3</v>
      </c>
      <c r="F14" s="106">
        <v>43724</v>
      </c>
      <c r="G14" s="108" t="s">
        <v>51</v>
      </c>
      <c r="H14" s="114">
        <v>0.29166666666666669</v>
      </c>
      <c r="I14" s="114">
        <v>0.54166666666666663</v>
      </c>
      <c r="J14" s="114">
        <v>0.27847222222222223</v>
      </c>
      <c r="K14" s="114">
        <v>0.55972222222222223</v>
      </c>
      <c r="L14" s="103">
        <v>1</v>
      </c>
      <c r="M14" s="103">
        <v>1</v>
      </c>
      <c r="N14" s="103"/>
      <c r="O14" s="103"/>
      <c r="P14" s="103"/>
      <c r="Q14" s="103"/>
      <c r="R14" s="114">
        <v>0.25</v>
      </c>
      <c r="S14" s="103"/>
      <c r="T14" s="103" t="b">
        <v>1</v>
      </c>
      <c r="U14" s="103" t="b">
        <v>1</v>
      </c>
      <c r="V14" s="103" t="s">
        <v>4</v>
      </c>
      <c r="W14" s="103">
        <v>1</v>
      </c>
      <c r="X14" s="103"/>
      <c r="Y14" s="103"/>
      <c r="Z14" s="114">
        <v>0.28125</v>
      </c>
      <c r="AA14" s="103" t="s">
        <v>3</v>
      </c>
      <c r="AB14" s="103" t="s">
        <v>3</v>
      </c>
      <c r="AC14" s="103" t="s">
        <v>3</v>
      </c>
      <c r="AD14" s="103">
        <f>REG!L20</f>
        <v>2</v>
      </c>
      <c r="AE14" s="103"/>
    </row>
    <row r="15" spans="1:31" s="46" customFormat="1" ht="20.25" customHeight="1" x14ac:dyDescent="0.2">
      <c r="A15" s="117" t="s">
        <v>84</v>
      </c>
      <c r="B15" s="117" t="s">
        <v>85</v>
      </c>
      <c r="C15" s="117" t="s">
        <v>86</v>
      </c>
      <c r="D15" s="117" t="s">
        <v>87</v>
      </c>
      <c r="E15" s="108" t="s">
        <v>3</v>
      </c>
      <c r="F15" s="106">
        <v>43725</v>
      </c>
      <c r="G15" s="108" t="s">
        <v>51</v>
      </c>
      <c r="H15" s="115">
        <v>0.29166666666666669</v>
      </c>
      <c r="I15" s="115">
        <v>0.54166666666666663</v>
      </c>
      <c r="J15" s="115">
        <v>0.28055555555555556</v>
      </c>
      <c r="K15" s="115">
        <v>0.57222222222222219</v>
      </c>
      <c r="L15" s="46">
        <v>1</v>
      </c>
      <c r="M15" s="46">
        <v>1</v>
      </c>
      <c r="R15" s="115">
        <v>0.25</v>
      </c>
      <c r="T15" s="46" t="b">
        <v>1</v>
      </c>
      <c r="U15" s="46" t="b">
        <v>1</v>
      </c>
      <c r="V15" s="46" t="s">
        <v>4</v>
      </c>
      <c r="W15" s="46">
        <v>1</v>
      </c>
      <c r="Z15" s="115">
        <v>0.29166666666666669</v>
      </c>
      <c r="AA15" s="46" t="s">
        <v>3</v>
      </c>
      <c r="AB15" s="46" t="s">
        <v>3</v>
      </c>
      <c r="AC15" s="46" t="s">
        <v>3</v>
      </c>
      <c r="AD15" s="46">
        <f>REG!L21</f>
        <v>3</v>
      </c>
    </row>
    <row r="16" spans="1:31" s="46" customFormat="1" ht="20.25" customHeight="1" x14ac:dyDescent="0.2">
      <c r="A16" s="117" t="s">
        <v>84</v>
      </c>
      <c r="B16" s="117" t="s">
        <v>85</v>
      </c>
      <c r="C16" s="117" t="s">
        <v>86</v>
      </c>
      <c r="D16" s="117" t="s">
        <v>87</v>
      </c>
      <c r="E16" s="108" t="s">
        <v>3</v>
      </c>
      <c r="F16" s="106">
        <v>43726</v>
      </c>
      <c r="G16" s="108" t="s">
        <v>51</v>
      </c>
      <c r="H16" s="115">
        <v>0.29166666666666669</v>
      </c>
      <c r="I16" s="115">
        <v>0.54166666666666663</v>
      </c>
      <c r="J16" s="115">
        <v>0.27013888888888887</v>
      </c>
      <c r="K16" s="115">
        <v>0.57013888888888886</v>
      </c>
      <c r="L16" s="46">
        <v>1</v>
      </c>
      <c r="M16" s="46">
        <v>1</v>
      </c>
      <c r="R16" s="115">
        <v>0.25</v>
      </c>
      <c r="T16" s="46" t="b">
        <v>1</v>
      </c>
      <c r="U16" s="46" t="b">
        <v>1</v>
      </c>
      <c r="V16" s="46" t="s">
        <v>4</v>
      </c>
      <c r="W16" s="46">
        <v>1</v>
      </c>
      <c r="Z16" s="115">
        <v>0.3</v>
      </c>
      <c r="AA16" s="46" t="s">
        <v>3</v>
      </c>
      <c r="AB16" s="46" t="s">
        <v>3</v>
      </c>
      <c r="AC16" s="46" t="s">
        <v>3</v>
      </c>
      <c r="AD16" s="46">
        <f>REG!L22</f>
        <v>4</v>
      </c>
    </row>
    <row r="17" spans="1:31" s="46" customFormat="1" ht="20.25" customHeight="1" x14ac:dyDescent="0.2">
      <c r="A17" s="117" t="s">
        <v>84</v>
      </c>
      <c r="B17" s="117" t="s">
        <v>85</v>
      </c>
      <c r="C17" s="117" t="s">
        <v>86</v>
      </c>
      <c r="D17" s="117" t="s">
        <v>87</v>
      </c>
      <c r="E17" s="108" t="s">
        <v>3</v>
      </c>
      <c r="F17" s="106">
        <v>43727</v>
      </c>
      <c r="G17" s="108" t="s">
        <v>51</v>
      </c>
      <c r="H17" s="115">
        <v>0.29166666666666669</v>
      </c>
      <c r="I17" s="115">
        <v>0.54166666666666663</v>
      </c>
      <c r="J17" s="115">
        <v>0.28125</v>
      </c>
      <c r="K17" s="115">
        <v>0.54166666666666663</v>
      </c>
      <c r="L17" s="46">
        <v>1</v>
      </c>
      <c r="M17" s="46">
        <v>1</v>
      </c>
      <c r="O17" s="115">
        <v>4.1666666666666664E-2</v>
      </c>
      <c r="R17" s="115">
        <v>0.20833333333333334</v>
      </c>
      <c r="T17" s="46" t="b">
        <v>1</v>
      </c>
      <c r="U17" s="46" t="b">
        <v>1</v>
      </c>
      <c r="V17" s="46" t="s">
        <v>4</v>
      </c>
      <c r="W17" s="46">
        <v>1</v>
      </c>
      <c r="Z17" s="115">
        <v>0.21805555555555556</v>
      </c>
      <c r="AA17" s="46" t="s">
        <v>3</v>
      </c>
      <c r="AB17" s="46" t="s">
        <v>3</v>
      </c>
      <c r="AC17" s="46" t="s">
        <v>3</v>
      </c>
      <c r="AD17" s="46">
        <f>REG!L23</f>
        <v>5</v>
      </c>
    </row>
    <row r="18" spans="1:31" s="46" customFormat="1" ht="20.25" customHeight="1" x14ac:dyDescent="0.2">
      <c r="A18" s="117" t="s">
        <v>84</v>
      </c>
      <c r="B18" s="117" t="s">
        <v>85</v>
      </c>
      <c r="C18" s="117" t="s">
        <v>86</v>
      </c>
      <c r="D18" s="117" t="s">
        <v>87</v>
      </c>
      <c r="E18" s="108" t="s">
        <v>3</v>
      </c>
      <c r="F18" s="106">
        <v>43728</v>
      </c>
      <c r="G18" s="108" t="s">
        <v>79</v>
      </c>
      <c r="H18" s="115">
        <v>0.29166666666666669</v>
      </c>
      <c r="I18" s="115">
        <v>0.45833333333333331</v>
      </c>
      <c r="J18" s="115">
        <v>0.28333333333333333</v>
      </c>
      <c r="K18" s="115">
        <v>0.45902777777777781</v>
      </c>
      <c r="L18" s="46">
        <v>1</v>
      </c>
      <c r="M18" s="46">
        <v>1</v>
      </c>
      <c r="R18" s="115">
        <v>0.16666666666666666</v>
      </c>
      <c r="T18" s="46" t="b">
        <v>1</v>
      </c>
      <c r="U18" s="46" t="b">
        <v>1</v>
      </c>
      <c r="V18" s="46" t="s">
        <v>4</v>
      </c>
      <c r="W18" s="46">
        <v>1</v>
      </c>
      <c r="Z18" s="115">
        <v>0.17569444444444446</v>
      </c>
      <c r="AA18" s="46" t="s">
        <v>3</v>
      </c>
      <c r="AB18" s="46" t="s">
        <v>3</v>
      </c>
      <c r="AC18" s="46" t="s">
        <v>3</v>
      </c>
      <c r="AD18" s="46">
        <f>REG!L24</f>
        <v>6</v>
      </c>
    </row>
    <row r="19" spans="1:31" s="46" customFormat="1" ht="20.25" customHeight="1" x14ac:dyDescent="0.2">
      <c r="A19" s="117" t="s">
        <v>84</v>
      </c>
      <c r="B19" s="117" t="s">
        <v>85</v>
      </c>
      <c r="C19" s="117" t="s">
        <v>86</v>
      </c>
      <c r="D19" s="117" t="s">
        <v>87</v>
      </c>
      <c r="E19" s="108" t="s">
        <v>3</v>
      </c>
      <c r="F19" s="106">
        <v>43729</v>
      </c>
      <c r="G19" s="108" t="s">
        <v>80</v>
      </c>
      <c r="H19" s="116">
        <v>0.29166666666666669</v>
      </c>
      <c r="I19" s="116">
        <v>0.5</v>
      </c>
      <c r="J19" s="116">
        <v>0.27986111111111112</v>
      </c>
      <c r="K19" s="116">
        <v>0.53055555555555556</v>
      </c>
      <c r="L19" s="102">
        <v>1</v>
      </c>
      <c r="M19" s="102">
        <v>1</v>
      </c>
      <c r="N19" s="102"/>
      <c r="O19" s="102"/>
      <c r="P19" s="102"/>
      <c r="Q19" s="102"/>
      <c r="R19" s="116">
        <v>0.20833333333333334</v>
      </c>
      <c r="S19" s="102"/>
      <c r="T19" s="102" t="b">
        <v>1</v>
      </c>
      <c r="U19" s="102" t="b">
        <v>1</v>
      </c>
      <c r="V19" s="102" t="s">
        <v>4</v>
      </c>
      <c r="W19" s="102"/>
      <c r="X19" s="102">
        <v>1</v>
      </c>
      <c r="Y19" s="102"/>
      <c r="Z19" s="116">
        <v>0.25069444444444444</v>
      </c>
      <c r="AA19" s="102" t="s">
        <v>3</v>
      </c>
      <c r="AB19" s="102" t="s">
        <v>3</v>
      </c>
      <c r="AC19" s="102" t="s">
        <v>3</v>
      </c>
      <c r="AD19" s="102">
        <f>REG!L25</f>
        <v>7</v>
      </c>
      <c r="AE19" s="102"/>
    </row>
    <row r="20" spans="1:31" s="46" customFormat="1" ht="20.25" customHeight="1" x14ac:dyDescent="0.2">
      <c r="A20" s="117" t="s">
        <v>84</v>
      </c>
      <c r="B20" s="117" t="s">
        <v>85</v>
      </c>
      <c r="C20" s="117" t="s">
        <v>86</v>
      </c>
      <c r="D20" s="117" t="s">
        <v>87</v>
      </c>
      <c r="E20" s="108" t="s">
        <v>3</v>
      </c>
      <c r="F20" s="106">
        <v>43731</v>
      </c>
      <c r="G20" s="108" t="s">
        <v>51</v>
      </c>
      <c r="H20" s="114">
        <v>0.29166666666666669</v>
      </c>
      <c r="I20" s="114">
        <v>0.54166666666666663</v>
      </c>
      <c r="J20" s="114">
        <v>0.27847222222222223</v>
      </c>
      <c r="K20" s="114">
        <v>0.55208333333333337</v>
      </c>
      <c r="L20" s="103">
        <v>1</v>
      </c>
      <c r="M20" s="103">
        <v>1</v>
      </c>
      <c r="N20" s="103"/>
      <c r="O20" s="103"/>
      <c r="P20" s="103"/>
      <c r="Q20" s="103"/>
      <c r="R20" s="114">
        <v>0.25</v>
      </c>
      <c r="S20" s="103"/>
      <c r="T20" s="103" t="b">
        <v>1</v>
      </c>
      <c r="U20" s="103" t="b">
        <v>1</v>
      </c>
      <c r="V20" s="103" t="s">
        <v>4</v>
      </c>
      <c r="W20" s="103">
        <v>1</v>
      </c>
      <c r="X20" s="103"/>
      <c r="Y20" s="103"/>
      <c r="Z20" s="114">
        <v>0.27291666666666664</v>
      </c>
      <c r="AA20" s="103" t="s">
        <v>3</v>
      </c>
      <c r="AB20" s="103" t="s">
        <v>3</v>
      </c>
      <c r="AC20" s="103" t="s">
        <v>3</v>
      </c>
      <c r="AD20" s="103">
        <f>REG!L26</f>
        <v>2</v>
      </c>
      <c r="AE20" s="103"/>
    </row>
    <row r="21" spans="1:31" s="46" customFormat="1" ht="20.25" customHeight="1" x14ac:dyDescent="0.2">
      <c r="A21" s="117" t="s">
        <v>84</v>
      </c>
      <c r="B21" s="117" t="s">
        <v>85</v>
      </c>
      <c r="C21" s="117" t="s">
        <v>86</v>
      </c>
      <c r="D21" s="117" t="s">
        <v>87</v>
      </c>
      <c r="E21" s="108" t="s">
        <v>3</v>
      </c>
      <c r="F21" s="106">
        <v>43732</v>
      </c>
      <c r="G21" s="108" t="s">
        <v>51</v>
      </c>
      <c r="H21" s="115">
        <v>0.29166666666666669</v>
      </c>
      <c r="I21" s="115">
        <v>0.54166666666666663</v>
      </c>
      <c r="J21" s="115">
        <v>0.2722222222222222</v>
      </c>
      <c r="K21" s="115">
        <v>0.66319444444444442</v>
      </c>
      <c r="L21" s="46">
        <v>1</v>
      </c>
      <c r="M21" s="46">
        <v>1</v>
      </c>
      <c r="R21" s="115">
        <v>0.25</v>
      </c>
      <c r="T21" s="46" t="b">
        <v>1</v>
      </c>
      <c r="U21" s="46" t="b">
        <v>1</v>
      </c>
      <c r="V21" s="46" t="s">
        <v>4</v>
      </c>
      <c r="W21" s="46">
        <v>1</v>
      </c>
      <c r="Z21" s="115">
        <v>0.39027777777777778</v>
      </c>
      <c r="AA21" s="46" t="s">
        <v>3</v>
      </c>
      <c r="AB21" s="46" t="s">
        <v>3</v>
      </c>
      <c r="AC21" s="46" t="s">
        <v>3</v>
      </c>
      <c r="AD21" s="46">
        <f>REG!L27</f>
        <v>3</v>
      </c>
    </row>
    <row r="22" spans="1:31" s="46" customFormat="1" ht="20.25" customHeight="1" x14ac:dyDescent="0.2">
      <c r="A22" s="117" t="s">
        <v>84</v>
      </c>
      <c r="B22" s="117" t="s">
        <v>85</v>
      </c>
      <c r="C22" s="117" t="s">
        <v>86</v>
      </c>
      <c r="D22" s="117" t="s">
        <v>87</v>
      </c>
      <c r="E22" s="108" t="s">
        <v>3</v>
      </c>
      <c r="F22" s="106">
        <v>43733</v>
      </c>
      <c r="G22" s="108" t="s">
        <v>51</v>
      </c>
      <c r="H22" s="115">
        <v>0.29166666666666669</v>
      </c>
      <c r="I22" s="115">
        <v>0.54166666666666663</v>
      </c>
      <c r="J22" s="115">
        <v>0.2673611111111111</v>
      </c>
      <c r="K22" s="115">
        <v>0.57222222222222219</v>
      </c>
      <c r="L22" s="46">
        <v>1</v>
      </c>
      <c r="M22" s="46">
        <v>1</v>
      </c>
      <c r="R22" s="115">
        <v>0.25</v>
      </c>
      <c r="T22" s="46" t="b">
        <v>1</v>
      </c>
      <c r="U22" s="46" t="b">
        <v>1</v>
      </c>
      <c r="V22" s="46" t="s">
        <v>4</v>
      </c>
      <c r="W22" s="46">
        <v>1</v>
      </c>
      <c r="Z22" s="115">
        <v>0.30486111111111108</v>
      </c>
      <c r="AA22" s="46" t="s">
        <v>3</v>
      </c>
      <c r="AB22" s="46" t="s">
        <v>3</v>
      </c>
      <c r="AC22" s="46" t="s">
        <v>3</v>
      </c>
      <c r="AD22" s="46">
        <f>REG!L28</f>
        <v>4</v>
      </c>
    </row>
    <row r="23" spans="1:31" s="46" customFormat="1" ht="20.25" customHeight="1" x14ac:dyDescent="0.2">
      <c r="A23" s="117" t="s">
        <v>84</v>
      </c>
      <c r="B23" s="117" t="s">
        <v>85</v>
      </c>
      <c r="C23" s="117" t="s">
        <v>86</v>
      </c>
      <c r="D23" s="117" t="s">
        <v>87</v>
      </c>
      <c r="E23" s="108" t="s">
        <v>3</v>
      </c>
      <c r="F23" s="106">
        <v>43734</v>
      </c>
      <c r="G23" s="108" t="s">
        <v>51</v>
      </c>
      <c r="H23" s="115">
        <v>0.29166666666666669</v>
      </c>
      <c r="I23" s="115">
        <v>0.54166666666666663</v>
      </c>
      <c r="J23" s="115">
        <v>0.27152777777777776</v>
      </c>
      <c r="K23" s="115">
        <v>0.55347222222222225</v>
      </c>
      <c r="L23" s="46">
        <v>1</v>
      </c>
      <c r="M23" s="46">
        <v>1</v>
      </c>
      <c r="R23" s="115">
        <v>0.25</v>
      </c>
      <c r="T23" s="46" t="b">
        <v>1</v>
      </c>
      <c r="U23" s="46" t="b">
        <v>1</v>
      </c>
      <c r="V23" s="46" t="s">
        <v>4</v>
      </c>
      <c r="W23" s="46">
        <v>1</v>
      </c>
      <c r="Z23" s="115">
        <v>0.28194444444444444</v>
      </c>
      <c r="AA23" s="46" t="s">
        <v>3</v>
      </c>
      <c r="AB23" s="46" t="s">
        <v>3</v>
      </c>
      <c r="AC23" s="46" t="s">
        <v>3</v>
      </c>
      <c r="AD23" s="46">
        <f>REG!L29</f>
        <v>5</v>
      </c>
    </row>
    <row r="24" spans="1:31" s="46" customFormat="1" ht="20.25" customHeight="1" x14ac:dyDescent="0.2">
      <c r="A24" s="117" t="s">
        <v>84</v>
      </c>
      <c r="B24" s="117" t="s">
        <v>85</v>
      </c>
      <c r="C24" s="117" t="s">
        <v>86</v>
      </c>
      <c r="D24" s="117" t="s">
        <v>87</v>
      </c>
      <c r="E24" s="108" t="s">
        <v>3</v>
      </c>
      <c r="F24" s="106">
        <v>43735</v>
      </c>
      <c r="G24" s="108" t="s">
        <v>79</v>
      </c>
      <c r="H24" s="115">
        <v>0.29166666666666669</v>
      </c>
      <c r="I24" s="115">
        <v>0.45833333333333331</v>
      </c>
      <c r="J24" s="115">
        <v>0.27847222222222223</v>
      </c>
      <c r="K24" s="115">
        <v>0.46458333333333335</v>
      </c>
      <c r="L24" s="46">
        <v>1</v>
      </c>
      <c r="M24" s="46">
        <v>1</v>
      </c>
      <c r="R24" s="115">
        <v>0.16666666666666666</v>
      </c>
      <c r="T24" s="46" t="b">
        <v>1</v>
      </c>
      <c r="U24" s="46" t="b">
        <v>1</v>
      </c>
      <c r="V24" s="46" t="s">
        <v>4</v>
      </c>
      <c r="W24" s="46">
        <v>1</v>
      </c>
      <c r="Z24" s="115">
        <v>0.18541666666666667</v>
      </c>
      <c r="AA24" s="46" t="s">
        <v>3</v>
      </c>
      <c r="AB24" s="46" t="s">
        <v>3</v>
      </c>
      <c r="AC24" s="46" t="s">
        <v>3</v>
      </c>
      <c r="AD24" s="46">
        <f>REG!L30</f>
        <v>6</v>
      </c>
    </row>
    <row r="25" spans="1:31" s="46" customFormat="1" ht="20.25" customHeight="1" x14ac:dyDescent="0.2">
      <c r="A25" s="117" t="s">
        <v>84</v>
      </c>
      <c r="B25" s="117" t="s">
        <v>85</v>
      </c>
      <c r="C25" s="117" t="s">
        <v>86</v>
      </c>
      <c r="D25" s="117" t="s">
        <v>87</v>
      </c>
      <c r="E25" s="108" t="s">
        <v>3</v>
      </c>
      <c r="F25" s="106">
        <v>43736</v>
      </c>
      <c r="G25" s="108" t="s">
        <v>80</v>
      </c>
      <c r="H25" s="116">
        <v>0.29166666666666669</v>
      </c>
      <c r="I25" s="116">
        <v>0.5</v>
      </c>
      <c r="J25" s="116">
        <v>0.27986111111111112</v>
      </c>
      <c r="K25" s="116">
        <v>0.54166666666666663</v>
      </c>
      <c r="L25" s="102">
        <v>1</v>
      </c>
      <c r="M25" s="102">
        <v>1</v>
      </c>
      <c r="N25" s="102"/>
      <c r="O25" s="102"/>
      <c r="P25" s="102"/>
      <c r="Q25" s="102"/>
      <c r="R25" s="116">
        <v>0.20833333333333334</v>
      </c>
      <c r="S25" s="102"/>
      <c r="T25" s="102" t="b">
        <v>1</v>
      </c>
      <c r="U25" s="102" t="b">
        <v>1</v>
      </c>
      <c r="V25" s="102" t="s">
        <v>4</v>
      </c>
      <c r="W25" s="102"/>
      <c r="X25" s="102">
        <v>1</v>
      </c>
      <c r="Y25" s="102"/>
      <c r="Z25" s="116">
        <v>0.26180555555555557</v>
      </c>
      <c r="AA25" s="102" t="s">
        <v>3</v>
      </c>
      <c r="AB25" s="102" t="s">
        <v>3</v>
      </c>
      <c r="AC25" s="102" t="s">
        <v>3</v>
      </c>
      <c r="AD25" s="102">
        <f>REG!L31</f>
        <v>7</v>
      </c>
      <c r="AE25" s="102"/>
    </row>
    <row r="26" spans="1:31" s="46" customFormat="1" ht="20.25" customHeight="1" x14ac:dyDescent="0.2">
      <c r="A26" s="117" t="s">
        <v>84</v>
      </c>
      <c r="B26" s="117" t="s">
        <v>85</v>
      </c>
      <c r="C26" s="117" t="s">
        <v>86</v>
      </c>
      <c r="D26" s="117" t="s">
        <v>87</v>
      </c>
      <c r="E26" s="108" t="s">
        <v>3</v>
      </c>
      <c r="F26" s="106">
        <v>43738</v>
      </c>
      <c r="G26" s="108" t="s">
        <v>51</v>
      </c>
      <c r="H26" s="114">
        <v>0.29166666666666669</v>
      </c>
      <c r="I26" s="114">
        <v>0.54166666666666663</v>
      </c>
      <c r="J26" s="114">
        <v>0.28263888888888888</v>
      </c>
      <c r="K26" s="114">
        <v>0.5625</v>
      </c>
      <c r="L26" s="103">
        <v>1</v>
      </c>
      <c r="M26" s="103">
        <v>1</v>
      </c>
      <c r="N26" s="103"/>
      <c r="O26" s="103"/>
      <c r="P26" s="103"/>
      <c r="Q26" s="103"/>
      <c r="R26" s="114">
        <v>0.25</v>
      </c>
      <c r="S26" s="103"/>
      <c r="T26" s="103" t="b">
        <v>1</v>
      </c>
      <c r="U26" s="103" t="b">
        <v>1</v>
      </c>
      <c r="V26" s="103" t="s">
        <v>4</v>
      </c>
      <c r="W26" s="103">
        <v>1</v>
      </c>
      <c r="X26" s="103"/>
      <c r="Y26" s="103"/>
      <c r="Z26" s="114">
        <v>0.27986111111111112</v>
      </c>
      <c r="AA26" s="103" t="s">
        <v>3</v>
      </c>
      <c r="AB26" s="103" t="s">
        <v>3</v>
      </c>
      <c r="AC26" s="103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</row>
    <row r="28" spans="1:31" ht="15" x14ac:dyDescent="0.25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46"/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>
        <f>SUM(L33:L62)</f>
        <v>25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44</v>
      </c>
    </row>
    <row r="35" spans="12:18" x14ac:dyDescent="0.25">
      <c r="L35" s="47">
        <f t="shared" si="0"/>
        <v>1</v>
      </c>
      <c r="R35" s="45" t="s">
        <v>44</v>
      </c>
    </row>
    <row r="36" spans="12:18" x14ac:dyDescent="0.25">
      <c r="L36" s="47">
        <f t="shared" si="0"/>
        <v>1</v>
      </c>
      <c r="R36" s="45" t="s">
        <v>44</v>
      </c>
    </row>
    <row r="37" spans="12:18" x14ac:dyDescent="0.25">
      <c r="L37" s="47">
        <f t="shared" si="0"/>
        <v>1</v>
      </c>
      <c r="R37" s="45" t="s">
        <v>44</v>
      </c>
    </row>
    <row r="38" spans="12:18" x14ac:dyDescent="0.25">
      <c r="L38" s="47">
        <f t="shared" si="0"/>
        <v>1</v>
      </c>
      <c r="R38" s="45" t="s">
        <v>44</v>
      </c>
    </row>
    <row r="39" spans="12:18" x14ac:dyDescent="0.25">
      <c r="L39" s="47">
        <f t="shared" si="0"/>
        <v>1</v>
      </c>
      <c r="R39" s="45" t="s">
        <v>44</v>
      </c>
    </row>
    <row r="40" spans="12:18" x14ac:dyDescent="0.25">
      <c r="L40" s="47">
        <f t="shared" si="0"/>
        <v>1</v>
      </c>
      <c r="R40" s="45" t="s">
        <v>44</v>
      </c>
    </row>
    <row r="41" spans="12:18" x14ac:dyDescent="0.25">
      <c r="L41" s="47">
        <f t="shared" si="0"/>
        <v>1</v>
      </c>
      <c r="R41" s="45" t="s">
        <v>44</v>
      </c>
    </row>
    <row r="42" spans="12:18" x14ac:dyDescent="0.25">
      <c r="L42" s="47">
        <f t="shared" si="0"/>
        <v>1</v>
      </c>
      <c r="R42" s="45" t="s">
        <v>44</v>
      </c>
    </row>
    <row r="43" spans="12:18" x14ac:dyDescent="0.25">
      <c r="L43" s="47">
        <f t="shared" si="0"/>
        <v>1</v>
      </c>
      <c r="R43" s="45" t="s">
        <v>44</v>
      </c>
    </row>
    <row r="44" spans="12:18" x14ac:dyDescent="0.25">
      <c r="L44" s="47">
        <f t="shared" si="0"/>
        <v>1</v>
      </c>
      <c r="R44" s="45" t="s">
        <v>44</v>
      </c>
    </row>
    <row r="45" spans="12:18" x14ac:dyDescent="0.25">
      <c r="L45" s="47">
        <f t="shared" si="0"/>
        <v>1</v>
      </c>
      <c r="R45" s="45" t="s">
        <v>44</v>
      </c>
    </row>
    <row r="46" spans="12:18" x14ac:dyDescent="0.25">
      <c r="L46" s="47">
        <f t="shared" si="0"/>
        <v>1</v>
      </c>
      <c r="R46" s="45" t="s">
        <v>44</v>
      </c>
    </row>
    <row r="47" spans="12:18" x14ac:dyDescent="0.25">
      <c r="L47" s="47">
        <f t="shared" si="0"/>
        <v>1</v>
      </c>
      <c r="R47" s="45" t="s">
        <v>44</v>
      </c>
    </row>
    <row r="48" spans="12:18" x14ac:dyDescent="0.25">
      <c r="L48" s="47">
        <f t="shared" si="0"/>
        <v>1</v>
      </c>
      <c r="R48" s="45" t="s">
        <v>44</v>
      </c>
    </row>
    <row r="49" spans="12:18" x14ac:dyDescent="0.25">
      <c r="L49" s="47">
        <f t="shared" si="0"/>
        <v>1</v>
      </c>
      <c r="R49" s="45" t="s">
        <v>44</v>
      </c>
    </row>
    <row r="50" spans="12:18" x14ac:dyDescent="0.25">
      <c r="L50" s="47">
        <f t="shared" si="0"/>
        <v>1</v>
      </c>
      <c r="R50" s="45" t="s">
        <v>44</v>
      </c>
    </row>
    <row r="51" spans="12:18" x14ac:dyDescent="0.25">
      <c r="L51" s="47">
        <f t="shared" si="0"/>
        <v>1</v>
      </c>
      <c r="R51" s="45" t="s">
        <v>44</v>
      </c>
    </row>
    <row r="52" spans="12:18" x14ac:dyDescent="0.25">
      <c r="L52" s="47">
        <f t="shared" si="0"/>
        <v>1</v>
      </c>
      <c r="R52" s="45" t="s">
        <v>44</v>
      </c>
    </row>
    <row r="53" spans="12:18" x14ac:dyDescent="0.25">
      <c r="L53" s="47">
        <f t="shared" si="0"/>
        <v>1</v>
      </c>
      <c r="R53" s="45" t="s">
        <v>44</v>
      </c>
    </row>
    <row r="54" spans="12:18" x14ac:dyDescent="0.25">
      <c r="L54" s="47">
        <f t="shared" si="0"/>
        <v>1</v>
      </c>
      <c r="R54" s="45" t="s">
        <v>44</v>
      </c>
    </row>
    <row r="55" spans="12:18" x14ac:dyDescent="0.25">
      <c r="L55" s="47">
        <f t="shared" si="0"/>
        <v>1</v>
      </c>
      <c r="R55" s="45" t="s">
        <v>44</v>
      </c>
    </row>
    <row r="56" spans="12:18" x14ac:dyDescent="0.25">
      <c r="L56" s="47">
        <f t="shared" si="0"/>
        <v>1</v>
      </c>
      <c r="R56" s="45" t="s">
        <v>44</v>
      </c>
    </row>
    <row r="57" spans="12:18" x14ac:dyDescent="0.25">
      <c r="L57" s="47">
        <f t="shared" si="0"/>
        <v>1</v>
      </c>
      <c r="R57" s="45" t="s">
        <v>44</v>
      </c>
    </row>
    <row r="58" spans="12:18" x14ac:dyDescent="0.25">
      <c r="L58" s="47">
        <f t="shared" si="0"/>
        <v>0</v>
      </c>
      <c r="R58" s="45" t="s">
        <v>44</v>
      </c>
    </row>
    <row r="59" spans="12:18" x14ac:dyDescent="0.25">
      <c r="L59" s="47">
        <f t="shared" si="0"/>
        <v>0</v>
      </c>
      <c r="R59" s="45" t="s">
        <v>44</v>
      </c>
    </row>
    <row r="60" spans="12:18" x14ac:dyDescent="0.25">
      <c r="L60" s="47">
        <f t="shared" si="0"/>
        <v>0</v>
      </c>
      <c r="R60" s="45" t="s">
        <v>44</v>
      </c>
    </row>
    <row r="61" spans="12:18" x14ac:dyDescent="0.25">
      <c r="L61" s="47">
        <f t="shared" si="0"/>
        <v>0</v>
      </c>
      <c r="R61" s="45" t="s">
        <v>44</v>
      </c>
    </row>
    <row r="62" spans="12:18" x14ac:dyDescent="0.25">
      <c r="L62" s="47">
        <f t="shared" si="0"/>
        <v>0</v>
      </c>
      <c r="R62" s="45" t="s">
        <v>44</v>
      </c>
    </row>
  </sheetData>
  <phoneticPr fontId="27" type="noConversion"/>
  <conditionalFormatting sqref="AD27:AD30">
    <cfRule type="containsText" dxfId="9" priority="1" operator="containsText" text="7">
      <formula>NOT(ISERROR(SEARCH("7",AD27)))</formula>
    </cfRule>
    <cfRule type="containsText" dxfId="8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62"/>
  <sheetViews>
    <sheetView zoomScale="85" zoomScaleNormal="85" workbookViewId="0">
      <pane xSplit="11" ySplit="1" topLeftCell="Y2" activePane="bottomRight" state="frozen"/>
      <selection pane="topRight" activeCell="L1" sqref="L1"/>
      <selection pane="bottomLeft" activeCell="A2" sqref="A2"/>
      <selection pane="bottomRight" activeCell="AH1" sqref="AH1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4" ht="15" x14ac:dyDescent="0.25">
      <c r="A1" s="105" t="s">
        <v>55</v>
      </c>
      <c r="B1" s="105" t="s">
        <v>56</v>
      </c>
      <c r="C1" s="105" t="s">
        <v>53</v>
      </c>
      <c r="D1" s="105" t="s">
        <v>57</v>
      </c>
      <c r="E1" s="105" t="s">
        <v>54</v>
      </c>
      <c r="F1" s="105" t="s">
        <v>58</v>
      </c>
      <c r="G1" s="105" t="s">
        <v>59</v>
      </c>
      <c r="H1" s="105" t="s">
        <v>60</v>
      </c>
      <c r="I1" s="105" t="s">
        <v>61</v>
      </c>
      <c r="J1" s="105" t="s">
        <v>62</v>
      </c>
      <c r="K1" s="105" t="s">
        <v>63</v>
      </c>
      <c r="L1" s="105" t="s">
        <v>0</v>
      </c>
      <c r="M1" s="105" t="s">
        <v>64</v>
      </c>
      <c r="N1" s="105" t="s">
        <v>65</v>
      </c>
      <c r="O1" s="105" t="s">
        <v>66</v>
      </c>
      <c r="P1" s="105" t="s">
        <v>67</v>
      </c>
      <c r="Q1" s="105" t="s">
        <v>68</v>
      </c>
      <c r="R1" s="105" t="s">
        <v>69</v>
      </c>
      <c r="S1" s="105" t="s">
        <v>70</v>
      </c>
      <c r="T1" s="105" t="s">
        <v>71</v>
      </c>
      <c r="U1" s="105" t="s">
        <v>72</v>
      </c>
      <c r="V1" s="105" t="s">
        <v>73</v>
      </c>
      <c r="W1" s="105" t="s">
        <v>1</v>
      </c>
      <c r="X1" s="105" t="s">
        <v>74</v>
      </c>
      <c r="Y1" s="105" t="s">
        <v>75</v>
      </c>
      <c r="Z1" s="105" t="s">
        <v>76</v>
      </c>
      <c r="AA1" s="105" t="s">
        <v>2</v>
      </c>
      <c r="AB1" s="105" t="s">
        <v>77</v>
      </c>
      <c r="AC1" s="105" t="s">
        <v>78</v>
      </c>
      <c r="AD1" s="101"/>
      <c r="AG1" s="112" t="s">
        <v>83</v>
      </c>
      <c r="AH1" s="112" t="s">
        <v>82</v>
      </c>
    </row>
    <row r="2" spans="1:34" s="46" customFormat="1" ht="20.25" customHeight="1" x14ac:dyDescent="0.2">
      <c r="A2" s="104" t="str">
        <f>IF(copas!A2="","",copas!A2)</f>
        <v>78</v>
      </c>
      <c r="B2" s="108" t="str">
        <f>IF(copas!B2="","",copas!B2)</f>
        <v>17</v>
      </c>
      <c r="C2" s="108" t="str">
        <f>IF(copas!C2="","",copas!C2)</f>
        <v>20521001187003</v>
      </c>
      <c r="D2" s="108" t="str">
        <f>IF(copas!D2="","",copas!D2)</f>
        <v>EVI NUNING</v>
      </c>
      <c r="E2" s="108" t="str">
        <f>IF(copas!E2="","",copas!E2)</f>
        <v/>
      </c>
      <c r="F2" s="113">
        <f>IF(copas!F2="","",copas!F2)</f>
        <v>43710</v>
      </c>
      <c r="G2" s="108" t="str">
        <f>IF(copas!G2="","",copas!G2)</f>
        <v>Sergu Sen-Kam</v>
      </c>
      <c r="H2" s="107">
        <f>IF(copas!H2="","",copas!H2)</f>
        <v>0.29166666666666669</v>
      </c>
      <c r="I2" s="107">
        <f>IF(copas!I2="","",copas!I2)</f>
        <v>0.54166666666666663</v>
      </c>
      <c r="J2" s="107">
        <f>IF(copas!J2="","",copas!J2)+TIME(0,AG2,0)</f>
        <v>0.28402777777777777</v>
      </c>
      <c r="K2" s="107">
        <f>IF(copas!K2="","",copas!K2)+TIME(0,AH2,0)</f>
        <v>0.57291666666666663</v>
      </c>
      <c r="L2" s="108">
        <f>IF(copas!L2="","",copas!L2)</f>
        <v>1</v>
      </c>
      <c r="M2" s="108">
        <f>IF(copas!M2="","",copas!M2)</f>
        <v>1</v>
      </c>
      <c r="N2" s="108" t="str">
        <f>IF(copas!N2="","",copas!N2)</f>
        <v/>
      </c>
      <c r="O2" s="108" t="str">
        <f>IF(copas!O2="","",copas!O2)</f>
        <v/>
      </c>
      <c r="P2" s="108" t="str">
        <f>IF(copas!P2="","",copas!P2)</f>
        <v/>
      </c>
      <c r="Q2" s="108" t="str">
        <f>IF(copas!Q2="","",copas!Q2)</f>
        <v/>
      </c>
      <c r="R2" s="108">
        <f>IF(copas!R2="","",copas!R2)</f>
        <v>0.25</v>
      </c>
      <c r="S2" s="108" t="str">
        <f>IF(copas!S2="","",copas!S2)</f>
        <v/>
      </c>
      <c r="T2" s="108" t="b">
        <f>IF(copas!T2="","",copas!T2)</f>
        <v>1</v>
      </c>
      <c r="U2" s="108" t="b">
        <f>IF(copas!U2="","",copas!U2)</f>
        <v>1</v>
      </c>
      <c r="V2" s="108" t="str">
        <f>IF(copas!V2="","",copas!V2)</f>
        <v>MI LABRUK KIDUL</v>
      </c>
      <c r="W2" s="108">
        <f>IF(copas!W2="","",copas!W2)</f>
        <v>1</v>
      </c>
      <c r="X2" s="108" t="str">
        <f>IF(copas!X2="","",copas!X2)</f>
        <v/>
      </c>
      <c r="Y2" s="108" t="str">
        <f>IF(copas!Y2="","",copas!Y2)</f>
        <v/>
      </c>
      <c r="Z2" s="108">
        <f>IF(copas!Z2="","",copas!Z2)</f>
        <v>0.28888888888888892</v>
      </c>
      <c r="AA2" s="108" t="str">
        <f>IF(copas!AA2="","",copas!AA2)</f>
        <v/>
      </c>
      <c r="AB2" s="108" t="str">
        <f>IF(copas!AB2="","",copas!AB2)</f>
        <v/>
      </c>
      <c r="AC2" s="108" t="str">
        <f>IF(copas!AC2="","",copas!AC2)</f>
        <v/>
      </c>
      <c r="AD2" s="108">
        <f>IF(copas!AD2="","",copas!AD2)</f>
        <v>2</v>
      </c>
      <c r="AE2" s="103"/>
      <c r="AG2" s="46">
        <v>3</v>
      </c>
      <c r="AH2" s="118">
        <v>3</v>
      </c>
    </row>
    <row r="3" spans="1:34" s="46" customFormat="1" ht="20.25" customHeight="1" x14ac:dyDescent="0.2">
      <c r="A3" s="108" t="str">
        <f>IF(copas!A3="","",copas!A3)</f>
        <v>78</v>
      </c>
      <c r="B3" s="108" t="str">
        <f>IF(copas!B3="","",copas!B3)</f>
        <v>17</v>
      </c>
      <c r="C3" s="108" t="str">
        <f>IF(copas!C3="","",copas!C3)</f>
        <v>20521001187003</v>
      </c>
      <c r="D3" s="108" t="str">
        <f>IF(copas!D3="","",copas!D3)</f>
        <v>EVI NUNING</v>
      </c>
      <c r="E3" s="108" t="str">
        <f>IF(copas!E3="","",copas!E3)</f>
        <v/>
      </c>
      <c r="F3" s="113">
        <f>IF(copas!F3="","",copas!F3)</f>
        <v>43711</v>
      </c>
      <c r="G3" s="108" t="str">
        <f>IF(copas!G3="","",copas!G3)</f>
        <v>Sergu Sen-Kam</v>
      </c>
      <c r="H3" s="107">
        <f>IF(copas!H3="","",copas!H3)</f>
        <v>0.29166666666666669</v>
      </c>
      <c r="I3" s="107">
        <f>IF(copas!I3="","",copas!I3)</f>
        <v>0.54166666666666663</v>
      </c>
      <c r="J3" s="107">
        <f>IF(copas!J3="","",copas!J3)+TIME(0,AG3,0)</f>
        <v>0.28055555555555556</v>
      </c>
      <c r="K3" s="107">
        <f>IF(copas!K3="","",copas!K3)+TIME(0,AH3,0)</f>
        <v>0.61111111111111116</v>
      </c>
      <c r="L3" s="108">
        <f>IF(copas!L3="","",copas!L3)</f>
        <v>1</v>
      </c>
      <c r="M3" s="108">
        <f>IF(copas!M3="","",copas!M3)</f>
        <v>1</v>
      </c>
      <c r="N3" s="108" t="str">
        <f>IF(copas!N3="","",copas!N3)</f>
        <v/>
      </c>
      <c r="O3" s="108" t="str">
        <f>IF(copas!O3="","",copas!O3)</f>
        <v/>
      </c>
      <c r="P3" s="108" t="str">
        <f>IF(copas!P3="","",copas!P3)</f>
        <v/>
      </c>
      <c r="Q3" s="108" t="str">
        <f>IF(copas!Q3="","",copas!Q3)</f>
        <v/>
      </c>
      <c r="R3" s="108">
        <f>IF(copas!R3="","",copas!R3)</f>
        <v>0.25</v>
      </c>
      <c r="S3" s="108" t="str">
        <f>IF(copas!S3="","",copas!S3)</f>
        <v/>
      </c>
      <c r="T3" s="108" t="b">
        <f>IF(copas!T3="","",copas!T3)</f>
        <v>1</v>
      </c>
      <c r="U3" s="108" t="b">
        <f>IF(copas!U3="","",copas!U3)</f>
        <v>1</v>
      </c>
      <c r="V3" s="108" t="str">
        <f>IF(copas!V3="","",copas!V3)</f>
        <v>MI LABRUK KIDUL</v>
      </c>
      <c r="W3" s="108">
        <f>IF(copas!W3="","",copas!W3)</f>
        <v>1</v>
      </c>
      <c r="X3" s="108" t="str">
        <f>IF(copas!X3="","",copas!X3)</f>
        <v/>
      </c>
      <c r="Y3" s="108" t="str">
        <f>IF(copas!Y3="","",copas!Y3)</f>
        <v/>
      </c>
      <c r="Z3" s="108">
        <f>IF(copas!Z3="","",copas!Z3)</f>
        <v>0.33055555555555555</v>
      </c>
      <c r="AA3" s="108" t="str">
        <f>IF(copas!AA3="","",copas!AA3)</f>
        <v/>
      </c>
      <c r="AB3" s="108" t="str">
        <f>IF(copas!AB3="","",copas!AB3)</f>
        <v/>
      </c>
      <c r="AC3" s="108" t="str">
        <f>IF(copas!AC3="","",copas!AC3)</f>
        <v/>
      </c>
      <c r="AD3" s="108">
        <f>IF(copas!AD3="","",copas!AD3)</f>
        <v>3</v>
      </c>
      <c r="AG3" s="46">
        <v>3</v>
      </c>
      <c r="AH3" s="118">
        <v>3</v>
      </c>
    </row>
    <row r="4" spans="1:34" s="46" customFormat="1" ht="20.25" customHeight="1" x14ac:dyDescent="0.2">
      <c r="A4" s="108" t="str">
        <f>IF(copas!A4="","",copas!A4)</f>
        <v>78</v>
      </c>
      <c r="B4" s="108" t="str">
        <f>IF(copas!B4="","",copas!B4)</f>
        <v>17</v>
      </c>
      <c r="C4" s="108" t="str">
        <f>IF(copas!C4="","",copas!C4)</f>
        <v>20521001187003</v>
      </c>
      <c r="D4" s="108" t="str">
        <f>IF(copas!D4="","",copas!D4)</f>
        <v>EVI NUNING</v>
      </c>
      <c r="E4" s="108" t="str">
        <f>IF(copas!E4="","",copas!E4)</f>
        <v/>
      </c>
      <c r="F4" s="113">
        <f>IF(copas!F4="","",copas!F4)</f>
        <v>43712</v>
      </c>
      <c r="G4" s="108" t="str">
        <f>IF(copas!G4="","",copas!G4)</f>
        <v>Sergu Sen-Kam</v>
      </c>
      <c r="H4" s="107">
        <f>IF(copas!H4="","",copas!H4)</f>
        <v>0.29166666666666669</v>
      </c>
      <c r="I4" s="107">
        <f>IF(copas!I4="","",copas!I4)</f>
        <v>0.54166666666666663</v>
      </c>
      <c r="J4" s="107">
        <f>IF(copas!J4="","",copas!J4)+TIME(0,AG4,0)</f>
        <v>0.26319444444444445</v>
      </c>
      <c r="K4" s="107">
        <f>IF(copas!K4="","",copas!K4)+TIME(0,AH4,0)</f>
        <v>0.56319444444444444</v>
      </c>
      <c r="L4" s="108">
        <f>IF(copas!L4="","",copas!L4)</f>
        <v>1</v>
      </c>
      <c r="M4" s="108">
        <f>IF(copas!M4="","",copas!M4)</f>
        <v>1</v>
      </c>
      <c r="N4" s="108" t="str">
        <f>IF(copas!N4="","",copas!N4)</f>
        <v/>
      </c>
      <c r="O4" s="108" t="str">
        <f>IF(copas!O4="","",copas!O4)</f>
        <v/>
      </c>
      <c r="P4" s="108" t="str">
        <f>IF(copas!P4="","",copas!P4)</f>
        <v/>
      </c>
      <c r="Q4" s="108" t="str">
        <f>IF(copas!Q4="","",copas!Q4)</f>
        <v/>
      </c>
      <c r="R4" s="108">
        <f>IF(copas!R4="","",copas!R4)</f>
        <v>0.25</v>
      </c>
      <c r="S4" s="108" t="str">
        <f>IF(copas!S4="","",copas!S4)</f>
        <v/>
      </c>
      <c r="T4" s="108" t="b">
        <f>IF(copas!T4="","",copas!T4)</f>
        <v>1</v>
      </c>
      <c r="U4" s="108" t="b">
        <f>IF(copas!U4="","",copas!U4)</f>
        <v>1</v>
      </c>
      <c r="V4" s="108" t="str">
        <f>IF(copas!V4="","",copas!V4)</f>
        <v>MI LABRUK KIDUL</v>
      </c>
      <c r="W4" s="108">
        <f>IF(copas!W4="","",copas!W4)</f>
        <v>1</v>
      </c>
      <c r="X4" s="108" t="str">
        <f>IF(copas!X4="","",copas!X4)</f>
        <v/>
      </c>
      <c r="Y4" s="108" t="str">
        <f>IF(copas!Y4="","",copas!Y4)</f>
        <v/>
      </c>
      <c r="Z4" s="108">
        <f>IF(copas!Z4="","",copas!Z4)</f>
        <v>0.3</v>
      </c>
      <c r="AA4" s="108" t="str">
        <f>IF(copas!AA4="","",copas!AA4)</f>
        <v/>
      </c>
      <c r="AB4" s="108" t="str">
        <f>IF(copas!AB4="","",copas!AB4)</f>
        <v/>
      </c>
      <c r="AC4" s="108" t="str">
        <f>IF(copas!AC4="","",copas!AC4)</f>
        <v/>
      </c>
      <c r="AD4" s="108">
        <f>IF(copas!AD4="","",copas!AD4)</f>
        <v>4</v>
      </c>
      <c r="AG4" s="46">
        <v>2</v>
      </c>
      <c r="AH4" s="118">
        <v>2</v>
      </c>
    </row>
    <row r="5" spans="1:34" s="46" customFormat="1" ht="20.25" customHeight="1" x14ac:dyDescent="0.2">
      <c r="A5" s="108" t="str">
        <f>IF(copas!A5="","",copas!A5)</f>
        <v>78</v>
      </c>
      <c r="B5" s="108" t="str">
        <f>IF(copas!B5="","",copas!B5)</f>
        <v>17</v>
      </c>
      <c r="C5" s="108" t="str">
        <f>IF(copas!C5="","",copas!C5)</f>
        <v>20521001187003</v>
      </c>
      <c r="D5" s="108" t="str">
        <f>IF(copas!D5="","",copas!D5)</f>
        <v>EVI NUNING</v>
      </c>
      <c r="E5" s="108" t="str">
        <f>IF(copas!E5="","",copas!E5)</f>
        <v/>
      </c>
      <c r="F5" s="113">
        <f>IF(copas!F5="","",copas!F5)</f>
        <v>43713</v>
      </c>
      <c r="G5" s="108" t="str">
        <f>IF(copas!G5="","",copas!G5)</f>
        <v>Sergu Sen-Kam</v>
      </c>
      <c r="H5" s="107">
        <f>IF(copas!H5="","",copas!H5)</f>
        <v>0.29166666666666669</v>
      </c>
      <c r="I5" s="107">
        <f>IF(copas!I5="","",copas!I5)</f>
        <v>0.54166666666666663</v>
      </c>
      <c r="J5" s="107">
        <f>IF(copas!J5="","",copas!J5)+TIME(0,AG5,0)</f>
        <v>0.27986111111111112</v>
      </c>
      <c r="K5" s="107">
        <f>IF(copas!K5="","",copas!K5)+TIME(0,AH5,0)</f>
        <v>0.57430555555555551</v>
      </c>
      <c r="L5" s="108">
        <f>IF(copas!L5="","",copas!L5)</f>
        <v>1</v>
      </c>
      <c r="M5" s="108">
        <f>IF(copas!M5="","",copas!M5)</f>
        <v>1</v>
      </c>
      <c r="N5" s="108" t="str">
        <f>IF(copas!N5="","",copas!N5)</f>
        <v/>
      </c>
      <c r="O5" s="108" t="str">
        <f>IF(copas!O5="","",copas!O5)</f>
        <v/>
      </c>
      <c r="P5" s="108" t="str">
        <f>IF(copas!P5="","",copas!P5)</f>
        <v/>
      </c>
      <c r="Q5" s="108" t="str">
        <f>IF(copas!Q5="","",copas!Q5)</f>
        <v/>
      </c>
      <c r="R5" s="108">
        <f>IF(copas!R5="","",copas!R5)</f>
        <v>0.25</v>
      </c>
      <c r="S5" s="108" t="str">
        <f>IF(copas!S5="","",copas!S5)</f>
        <v/>
      </c>
      <c r="T5" s="108" t="b">
        <f>IF(copas!T5="","",copas!T5)</f>
        <v>1</v>
      </c>
      <c r="U5" s="108" t="b">
        <f>IF(copas!U5="","",copas!U5)</f>
        <v>1</v>
      </c>
      <c r="V5" s="108" t="str">
        <f>IF(copas!V5="","",copas!V5)</f>
        <v>MI LABRUK KIDUL</v>
      </c>
      <c r="W5" s="108">
        <f>IF(copas!W5="","",copas!W5)</f>
        <v>1</v>
      </c>
      <c r="X5" s="108" t="str">
        <f>IF(copas!X5="","",copas!X5)</f>
        <v/>
      </c>
      <c r="Y5" s="108" t="str">
        <f>IF(copas!Y5="","",copas!Y5)</f>
        <v/>
      </c>
      <c r="Z5" s="108">
        <f>IF(copas!Z5="","",copas!Z5)</f>
        <v>0.2951388888888889</v>
      </c>
      <c r="AA5" s="108" t="str">
        <f>IF(copas!AA5="","",copas!AA5)</f>
        <v/>
      </c>
      <c r="AB5" s="108" t="str">
        <f>IF(copas!AB5="","",copas!AB5)</f>
        <v/>
      </c>
      <c r="AC5" s="108" t="str">
        <f>IF(copas!AC5="","",copas!AC5)</f>
        <v/>
      </c>
      <c r="AD5" s="108">
        <f>IF(copas!AD5="","",copas!AD5)</f>
        <v>5</v>
      </c>
      <c r="AG5" s="118">
        <v>3</v>
      </c>
      <c r="AH5" s="46">
        <v>2</v>
      </c>
    </row>
    <row r="6" spans="1:34" s="46" customFormat="1" ht="20.25" customHeight="1" x14ac:dyDescent="0.2">
      <c r="A6" s="108" t="str">
        <f>IF(copas!A6="","",copas!A6)</f>
        <v>78</v>
      </c>
      <c r="B6" s="108" t="str">
        <f>IF(copas!B6="","",copas!B6)</f>
        <v>17</v>
      </c>
      <c r="C6" s="108" t="str">
        <f>IF(copas!C6="","",copas!C6)</f>
        <v>20521001187003</v>
      </c>
      <c r="D6" s="108" t="str">
        <f>IF(copas!D6="","",copas!D6)</f>
        <v>EVI NUNING</v>
      </c>
      <c r="E6" s="108" t="str">
        <f>IF(copas!E6="","",copas!E6)</f>
        <v/>
      </c>
      <c r="F6" s="113">
        <f>IF(copas!F6="","",copas!F6)</f>
        <v>43714</v>
      </c>
      <c r="G6" s="108" t="str">
        <f>IF(copas!G6="","",copas!G6)</f>
        <v>Sergu Jum</v>
      </c>
      <c r="H6" s="107">
        <f>IF(copas!H6="","",copas!H6)</f>
        <v>0.29166666666666669</v>
      </c>
      <c r="I6" s="107">
        <f>IF(copas!I6="","",copas!I6)</f>
        <v>0.45833333333333331</v>
      </c>
      <c r="J6" s="107">
        <f>IF(copas!J6="","",copas!J6)+TIME(0,AG6,0)</f>
        <v>0.28055555555555556</v>
      </c>
      <c r="K6" s="107">
        <f>IF(copas!K6="","",copas!K6)+TIME(0,AH6,0)</f>
        <v>0.46944444444444444</v>
      </c>
      <c r="L6" s="108">
        <f>IF(copas!L6="","",copas!L6)</f>
        <v>1</v>
      </c>
      <c r="M6" s="108">
        <f>IF(copas!M6="","",copas!M6)</f>
        <v>1</v>
      </c>
      <c r="N6" s="108" t="str">
        <f>IF(copas!N6="","",copas!N6)</f>
        <v/>
      </c>
      <c r="O6" s="108" t="str">
        <f>IF(copas!O6="","",copas!O6)</f>
        <v/>
      </c>
      <c r="P6" s="108" t="str">
        <f>IF(copas!P6="","",copas!P6)</f>
        <v/>
      </c>
      <c r="Q6" s="108" t="str">
        <f>IF(copas!Q6="","",copas!Q6)</f>
        <v/>
      </c>
      <c r="R6" s="108">
        <f>IF(copas!R6="","",copas!R6)</f>
        <v>0.16666666666666666</v>
      </c>
      <c r="S6" s="108" t="str">
        <f>IF(copas!S6="","",copas!S6)</f>
        <v/>
      </c>
      <c r="T6" s="108" t="b">
        <f>IF(copas!T6="","",copas!T6)</f>
        <v>1</v>
      </c>
      <c r="U6" s="108" t="b">
        <f>IF(copas!U6="","",copas!U6)</f>
        <v>1</v>
      </c>
      <c r="V6" s="108" t="str">
        <f>IF(copas!V6="","",copas!V6)</f>
        <v>MI LABRUK KIDUL</v>
      </c>
      <c r="W6" s="108">
        <f>IF(copas!W6="","",copas!W6)</f>
        <v>1</v>
      </c>
      <c r="X6" s="108" t="str">
        <f>IF(copas!X6="","",copas!X6)</f>
        <v/>
      </c>
      <c r="Y6" s="108" t="str">
        <f>IF(copas!Y6="","",copas!Y6)</f>
        <v/>
      </c>
      <c r="Z6" s="108">
        <f>IF(copas!Z6="","",copas!Z6)</f>
        <v>0.18888888888888888</v>
      </c>
      <c r="AA6" s="108" t="str">
        <f>IF(copas!AA6="","",copas!AA6)</f>
        <v/>
      </c>
      <c r="AB6" s="108" t="str">
        <f>IF(copas!AB6="","",copas!AB6)</f>
        <v/>
      </c>
      <c r="AC6" s="108" t="str">
        <f>IF(copas!AC6="","",copas!AC6)</f>
        <v/>
      </c>
      <c r="AD6" s="108">
        <f>IF(copas!AD6="","",copas!AD6)</f>
        <v>6</v>
      </c>
      <c r="AG6" s="118">
        <v>3</v>
      </c>
      <c r="AH6" s="118">
        <v>3</v>
      </c>
    </row>
    <row r="7" spans="1:34" s="46" customFormat="1" ht="20.25" customHeight="1" x14ac:dyDescent="0.2">
      <c r="A7" s="108" t="str">
        <f>IF(copas!A7="","",copas!A7)</f>
        <v>78</v>
      </c>
      <c r="B7" s="108" t="str">
        <f>IF(copas!B7="","",copas!B7)</f>
        <v>17</v>
      </c>
      <c r="C7" s="108" t="str">
        <f>IF(copas!C7="","",copas!C7)</f>
        <v>20521001187003</v>
      </c>
      <c r="D7" s="108" t="str">
        <f>IF(copas!D7="","",copas!D7)</f>
        <v>EVI NUNING</v>
      </c>
      <c r="E7" s="108" t="str">
        <f>IF(copas!E7="","",copas!E7)</f>
        <v/>
      </c>
      <c r="F7" s="113">
        <f>IF(copas!F7="","",copas!F7)</f>
        <v>43715</v>
      </c>
      <c r="G7" s="108" t="str">
        <f>IF(copas!G7="","",copas!G7)</f>
        <v>sergu sabtu</v>
      </c>
      <c r="H7" s="107">
        <f>IF(copas!H7="","",copas!H7)</f>
        <v>0.29166666666666669</v>
      </c>
      <c r="I7" s="107">
        <f>IF(copas!I7="","",copas!I7)</f>
        <v>0.5</v>
      </c>
      <c r="J7" s="107">
        <f>IF(copas!J7="","",copas!J7)+TIME(0,AG7,0)</f>
        <v>0.28333333333333333</v>
      </c>
      <c r="K7" s="107">
        <f>IF(copas!K7="","",copas!K7)+TIME(0,AH7,0)</f>
        <v>0.52013888888888893</v>
      </c>
      <c r="L7" s="108">
        <f>IF(copas!L7="","",copas!L7)</f>
        <v>1</v>
      </c>
      <c r="M7" s="108">
        <f>IF(copas!M7="","",copas!M7)</f>
        <v>1</v>
      </c>
      <c r="N7" s="108" t="str">
        <f>IF(copas!N7="","",copas!N7)</f>
        <v/>
      </c>
      <c r="O7" s="108" t="str">
        <f>IF(copas!O7="","",copas!O7)</f>
        <v/>
      </c>
      <c r="P7" s="108" t="str">
        <f>IF(copas!P7="","",copas!P7)</f>
        <v/>
      </c>
      <c r="Q7" s="108" t="str">
        <f>IF(copas!Q7="","",copas!Q7)</f>
        <v/>
      </c>
      <c r="R7" s="108">
        <f>IF(copas!R7="","",copas!R7)</f>
        <v>0.20833333333333334</v>
      </c>
      <c r="S7" s="108" t="str">
        <f>IF(copas!S7="","",copas!S7)</f>
        <v/>
      </c>
      <c r="T7" s="108" t="b">
        <f>IF(copas!T7="","",copas!T7)</f>
        <v>1</v>
      </c>
      <c r="U7" s="108" t="b">
        <f>IF(copas!U7="","",copas!U7)</f>
        <v>1</v>
      </c>
      <c r="V7" s="108" t="str">
        <f>IF(copas!V7="","",copas!V7)</f>
        <v>MI LABRUK KIDUL</v>
      </c>
      <c r="W7" s="108" t="str">
        <f>IF(copas!W7="","",copas!W7)</f>
        <v/>
      </c>
      <c r="X7" s="108">
        <f>IF(copas!X7="","",copas!X7)</f>
        <v>1</v>
      </c>
      <c r="Y7" s="108" t="str">
        <f>IF(copas!Y7="","",copas!Y7)</f>
        <v/>
      </c>
      <c r="Z7" s="108">
        <f>IF(copas!Z7="","",copas!Z7)</f>
        <v>0.23611111111111113</v>
      </c>
      <c r="AA7" s="108" t="str">
        <f>IF(copas!AA7="","",copas!AA7)</f>
        <v/>
      </c>
      <c r="AB7" s="108" t="str">
        <f>IF(copas!AB7="","",copas!AB7)</f>
        <v/>
      </c>
      <c r="AC7" s="108" t="str">
        <f>IF(copas!AC7="","",copas!AC7)</f>
        <v/>
      </c>
      <c r="AD7" s="108">
        <f>IF(copas!AD7="","",copas!AD7)</f>
        <v>7</v>
      </c>
      <c r="AE7" s="102"/>
      <c r="AG7" s="118">
        <v>2</v>
      </c>
      <c r="AH7" s="118">
        <v>3</v>
      </c>
    </row>
    <row r="8" spans="1:34" s="46" customFormat="1" ht="20.25" customHeight="1" x14ac:dyDescent="0.2">
      <c r="A8" s="108" t="str">
        <f>IF(copas!A8="","",copas!A8)</f>
        <v>78</v>
      </c>
      <c r="B8" s="108" t="str">
        <f>IF(copas!B8="","",copas!B8)</f>
        <v>17</v>
      </c>
      <c r="C8" s="108" t="str">
        <f>IF(copas!C8="","",copas!C8)</f>
        <v>20521001187003</v>
      </c>
      <c r="D8" s="108" t="str">
        <f>IF(copas!D8="","",copas!D8)</f>
        <v>EVI NUNING</v>
      </c>
      <c r="E8" s="108" t="str">
        <f>IF(copas!E8="","",copas!E8)</f>
        <v/>
      </c>
      <c r="F8" s="113">
        <f>IF(copas!F8="","",copas!F8)</f>
        <v>43717</v>
      </c>
      <c r="G8" s="108" t="str">
        <f>IF(copas!G8="","",copas!G8)</f>
        <v>Sergu Sen-Kam</v>
      </c>
      <c r="H8" s="107">
        <f>IF(copas!H8="","",copas!H8)</f>
        <v>0.29166666666666669</v>
      </c>
      <c r="I8" s="107">
        <f>IF(copas!I8="","",copas!I8)</f>
        <v>0.54166666666666663</v>
      </c>
      <c r="J8" s="107">
        <f>IF(copas!J8="","",copas!J8)+TIME(0,AG8,0)</f>
        <v>0.27361111111111108</v>
      </c>
      <c r="K8" s="107">
        <f>IF(copas!K8="","",copas!K8)+TIME(0,AH8,0)</f>
        <v>0.56944444444444442</v>
      </c>
      <c r="L8" s="108">
        <f>IF(copas!L8="","",copas!L8)</f>
        <v>1</v>
      </c>
      <c r="M8" s="108">
        <f>IF(copas!M8="","",copas!M8)</f>
        <v>1</v>
      </c>
      <c r="N8" s="108" t="str">
        <f>IF(copas!N8="","",copas!N8)</f>
        <v/>
      </c>
      <c r="O8" s="108" t="str">
        <f>IF(copas!O8="","",copas!O8)</f>
        <v/>
      </c>
      <c r="P8" s="108" t="str">
        <f>IF(copas!P8="","",copas!P8)</f>
        <v/>
      </c>
      <c r="Q8" s="108" t="str">
        <f>IF(copas!Q8="","",copas!Q8)</f>
        <v/>
      </c>
      <c r="R8" s="108">
        <f>IF(copas!R8="","",copas!R8)</f>
        <v>0.25</v>
      </c>
      <c r="S8" s="108" t="str">
        <f>IF(copas!S8="","",copas!S8)</f>
        <v/>
      </c>
      <c r="T8" s="108" t="b">
        <f>IF(copas!T8="","",copas!T8)</f>
        <v>1</v>
      </c>
      <c r="U8" s="108" t="b">
        <f>IF(copas!U8="","",copas!U8)</f>
        <v>1</v>
      </c>
      <c r="V8" s="108" t="str">
        <f>IF(copas!V8="","",copas!V8)</f>
        <v>MI LABRUK KIDUL</v>
      </c>
      <c r="W8" s="108">
        <f>IF(copas!W8="","",copas!W8)</f>
        <v>1</v>
      </c>
      <c r="X8" s="108" t="str">
        <f>IF(copas!X8="","",copas!X8)</f>
        <v/>
      </c>
      <c r="Y8" s="108" t="str">
        <f>IF(copas!Y8="","",copas!Y8)</f>
        <v/>
      </c>
      <c r="Z8" s="108">
        <f>IF(copas!Z8="","",copas!Z8)</f>
        <v>0.29583333333333334</v>
      </c>
      <c r="AA8" s="108" t="str">
        <f>IF(copas!AA8="","",copas!AA8)</f>
        <v/>
      </c>
      <c r="AB8" s="108" t="str">
        <f>IF(copas!AB8="","",copas!AB8)</f>
        <v/>
      </c>
      <c r="AC8" s="108" t="str">
        <f>IF(copas!AC8="","",copas!AC8)</f>
        <v/>
      </c>
      <c r="AD8" s="108">
        <f>IF(copas!AD8="","",copas!AD8)</f>
        <v>2</v>
      </c>
      <c r="AE8" s="103"/>
      <c r="AG8" s="118">
        <v>3</v>
      </c>
      <c r="AH8" s="118">
        <v>2</v>
      </c>
    </row>
    <row r="9" spans="1:34" s="46" customFormat="1" ht="20.25" customHeight="1" x14ac:dyDescent="0.2">
      <c r="A9" s="108" t="str">
        <f>IF(copas!A9="","",copas!A9)</f>
        <v>78</v>
      </c>
      <c r="B9" s="108" t="str">
        <f>IF(copas!B9="","",copas!B9)</f>
        <v>17</v>
      </c>
      <c r="C9" s="108" t="str">
        <f>IF(copas!C9="","",copas!C9)</f>
        <v>20521001187003</v>
      </c>
      <c r="D9" s="108" t="str">
        <f>IF(copas!D9="","",copas!D9)</f>
        <v>EVI NUNING</v>
      </c>
      <c r="E9" s="108" t="str">
        <f>IF(copas!E9="","",copas!E9)</f>
        <v/>
      </c>
      <c r="F9" s="113">
        <f>IF(copas!F9="","",copas!F9)</f>
        <v>43718</v>
      </c>
      <c r="G9" s="108" t="str">
        <f>IF(copas!G9="","",copas!G9)</f>
        <v>Sergu Sen-Kam</v>
      </c>
      <c r="H9" s="107">
        <f>IF(copas!H9="","",copas!H9)</f>
        <v>0.29166666666666669</v>
      </c>
      <c r="I9" s="107">
        <f>IF(copas!I9="","",copas!I9)</f>
        <v>0.54166666666666663</v>
      </c>
      <c r="J9" s="107">
        <f>IF(copas!J9="","",copas!J9)+TIME(0,AG9,0)</f>
        <v>0.28055555555555556</v>
      </c>
      <c r="K9" s="107">
        <f>IF(copas!K9="","",copas!K9)+TIME(0,AH9,0)</f>
        <v>0.58124999999999993</v>
      </c>
      <c r="L9" s="108">
        <f>IF(copas!L9="","",copas!L9)</f>
        <v>1</v>
      </c>
      <c r="M9" s="108">
        <f>IF(copas!M9="","",copas!M9)</f>
        <v>1</v>
      </c>
      <c r="N9" s="108" t="str">
        <f>IF(copas!N9="","",copas!N9)</f>
        <v/>
      </c>
      <c r="O9" s="108" t="str">
        <f>IF(copas!O9="","",copas!O9)</f>
        <v/>
      </c>
      <c r="P9" s="108" t="str">
        <f>IF(copas!P9="","",copas!P9)</f>
        <v/>
      </c>
      <c r="Q9" s="108" t="str">
        <f>IF(copas!Q9="","",copas!Q9)</f>
        <v/>
      </c>
      <c r="R9" s="108">
        <f>IF(copas!R9="","",copas!R9)</f>
        <v>0.25</v>
      </c>
      <c r="S9" s="108" t="str">
        <f>IF(copas!S9="","",copas!S9)</f>
        <v/>
      </c>
      <c r="T9" s="108" t="b">
        <f>IF(copas!T9="","",copas!T9)</f>
        <v>1</v>
      </c>
      <c r="U9" s="108" t="b">
        <f>IF(copas!U9="","",copas!U9)</f>
        <v>1</v>
      </c>
      <c r="V9" s="108" t="str">
        <f>IF(copas!V9="","",copas!V9)</f>
        <v>MI LABRUK KIDUL</v>
      </c>
      <c r="W9" s="108">
        <f>IF(copas!W9="","",copas!W9)</f>
        <v>1</v>
      </c>
      <c r="X9" s="108" t="str">
        <f>IF(copas!X9="","",copas!X9)</f>
        <v/>
      </c>
      <c r="Y9" s="108" t="str">
        <f>IF(copas!Y9="","",copas!Y9)</f>
        <v/>
      </c>
      <c r="Z9" s="108">
        <f>IF(copas!Z9="","",copas!Z9)</f>
        <v>0.30138888888888887</v>
      </c>
      <c r="AA9" s="108" t="str">
        <f>IF(copas!AA9="","",copas!AA9)</f>
        <v/>
      </c>
      <c r="AB9" s="108" t="str">
        <f>IF(copas!AB9="","",copas!AB9)</f>
        <v/>
      </c>
      <c r="AC9" s="108" t="str">
        <f>IF(copas!AC9="","",copas!AC9)</f>
        <v/>
      </c>
      <c r="AD9" s="108">
        <f>IF(copas!AD9="","",copas!AD9)</f>
        <v>3</v>
      </c>
      <c r="AG9" s="118">
        <v>3</v>
      </c>
      <c r="AH9" s="118">
        <v>2</v>
      </c>
    </row>
    <row r="10" spans="1:34" s="46" customFormat="1" ht="20.25" customHeight="1" x14ac:dyDescent="0.2">
      <c r="A10" s="108" t="str">
        <f>IF(copas!A10="","",copas!A10)</f>
        <v>78</v>
      </c>
      <c r="B10" s="108" t="str">
        <f>IF(copas!B10="","",copas!B10)</f>
        <v>17</v>
      </c>
      <c r="C10" s="108" t="str">
        <f>IF(copas!C10="","",copas!C10)</f>
        <v>20521001187003</v>
      </c>
      <c r="D10" s="108" t="str">
        <f>IF(copas!D10="","",copas!D10)</f>
        <v>EVI NUNING</v>
      </c>
      <c r="E10" s="108" t="str">
        <f>IF(copas!E10="","",copas!E10)</f>
        <v/>
      </c>
      <c r="F10" s="113">
        <f>IF(copas!F10="","",copas!F10)</f>
        <v>43719</v>
      </c>
      <c r="G10" s="108" t="str">
        <f>IF(copas!G10="","",copas!G10)</f>
        <v>Sergu Sen-Kam</v>
      </c>
      <c r="H10" s="107">
        <f>IF(copas!H10="","",copas!H10)</f>
        <v>0.29166666666666669</v>
      </c>
      <c r="I10" s="107">
        <f>IF(copas!I10="","",copas!I10)</f>
        <v>0.54166666666666663</v>
      </c>
      <c r="J10" s="107">
        <f>IF(copas!J10="","",copas!J10)+TIME(0,AG10,0)</f>
        <v>0.27499999999999997</v>
      </c>
      <c r="K10" s="107">
        <f>IF(copas!K10="","",copas!K10)+TIME(0,AH10,0)</f>
        <v>0.59444444444444444</v>
      </c>
      <c r="L10" s="108">
        <f>IF(copas!L10="","",copas!L10)</f>
        <v>1</v>
      </c>
      <c r="M10" s="108">
        <f>IF(copas!M10="","",copas!M10)</f>
        <v>1</v>
      </c>
      <c r="N10" s="108" t="str">
        <f>IF(copas!N10="","",copas!N10)</f>
        <v/>
      </c>
      <c r="O10" s="108" t="str">
        <f>IF(copas!O10="","",copas!O10)</f>
        <v/>
      </c>
      <c r="P10" s="108" t="str">
        <f>IF(copas!P10="","",copas!P10)</f>
        <v/>
      </c>
      <c r="Q10" s="108" t="str">
        <f>IF(copas!Q10="","",copas!Q10)</f>
        <v/>
      </c>
      <c r="R10" s="108">
        <f>IF(copas!R10="","",copas!R10)</f>
        <v>0.25</v>
      </c>
      <c r="S10" s="108" t="str">
        <f>IF(copas!S10="","",copas!S10)</f>
        <v/>
      </c>
      <c r="T10" s="108" t="b">
        <f>IF(copas!T10="","",copas!T10)</f>
        <v>1</v>
      </c>
      <c r="U10" s="108" t="b">
        <f>IF(copas!U10="","",copas!U10)</f>
        <v>1</v>
      </c>
      <c r="V10" s="108" t="str">
        <f>IF(copas!V10="","",copas!V10)</f>
        <v>MI LABRUK KIDUL</v>
      </c>
      <c r="W10" s="108">
        <f>IF(copas!W10="","",copas!W10)</f>
        <v>1</v>
      </c>
      <c r="X10" s="108" t="str">
        <f>IF(copas!X10="","",copas!X10)</f>
        <v/>
      </c>
      <c r="Y10" s="108" t="str">
        <f>IF(copas!Y10="","",copas!Y10)</f>
        <v/>
      </c>
      <c r="Z10" s="108">
        <f>IF(copas!Z10="","",copas!Z10)</f>
        <v>0.31805555555555554</v>
      </c>
      <c r="AA10" s="108" t="str">
        <f>IF(copas!AA10="","",copas!AA10)</f>
        <v/>
      </c>
      <c r="AB10" s="108" t="str">
        <f>IF(copas!AB10="","",copas!AB10)</f>
        <v/>
      </c>
      <c r="AC10" s="108" t="str">
        <f>IF(copas!AC10="","",copas!AC10)</f>
        <v/>
      </c>
      <c r="AD10" s="108">
        <f>IF(copas!AD10="","",copas!AD10)</f>
        <v>4</v>
      </c>
      <c r="AG10" s="118">
        <v>2</v>
      </c>
      <c r="AH10" s="118">
        <v>3</v>
      </c>
    </row>
    <row r="11" spans="1:34" s="46" customFormat="1" ht="20.25" customHeight="1" x14ac:dyDescent="0.2">
      <c r="A11" s="108" t="str">
        <f>IF(copas!A11="","",copas!A11)</f>
        <v>78</v>
      </c>
      <c r="B11" s="108" t="str">
        <f>IF(copas!B11="","",copas!B11)</f>
        <v>17</v>
      </c>
      <c r="C11" s="108" t="str">
        <f>IF(copas!C11="","",copas!C11)</f>
        <v>20521001187003</v>
      </c>
      <c r="D11" s="108" t="str">
        <f>IF(copas!D11="","",copas!D11)</f>
        <v>EVI NUNING</v>
      </c>
      <c r="E11" s="108" t="str">
        <f>IF(copas!E11="","",copas!E11)</f>
        <v/>
      </c>
      <c r="F11" s="113">
        <f>IF(copas!F11="","",copas!F11)</f>
        <v>43720</v>
      </c>
      <c r="G11" s="108" t="str">
        <f>IF(copas!G11="","",copas!G11)</f>
        <v>Sergu Sen-Kam</v>
      </c>
      <c r="H11" s="107">
        <f>IF(copas!H11="","",copas!H11)</f>
        <v>0.29166666666666669</v>
      </c>
      <c r="I11" s="107">
        <f>IF(copas!I11="","",copas!I11)</f>
        <v>0.54166666666666663</v>
      </c>
      <c r="J11" s="107">
        <f>IF(copas!J11="","",copas!J11)+TIME(0,AG11,0)</f>
        <v>0.28402777777777777</v>
      </c>
      <c r="K11" s="107">
        <f>IF(copas!K11="","",copas!K11)+TIME(0,AH11,0)</f>
        <v>0.56180555555555556</v>
      </c>
      <c r="L11" s="108">
        <f>IF(copas!L11="","",copas!L11)</f>
        <v>1</v>
      </c>
      <c r="M11" s="108">
        <f>IF(copas!M11="","",copas!M11)</f>
        <v>1</v>
      </c>
      <c r="N11" s="108" t="str">
        <f>IF(copas!N11="","",copas!N11)</f>
        <v/>
      </c>
      <c r="O11" s="108" t="str">
        <f>IF(copas!O11="","",copas!O11)</f>
        <v/>
      </c>
      <c r="P11" s="108" t="str">
        <f>IF(copas!P11="","",copas!P11)</f>
        <v/>
      </c>
      <c r="Q11" s="108" t="str">
        <f>IF(copas!Q11="","",copas!Q11)</f>
        <v/>
      </c>
      <c r="R11" s="108">
        <f>IF(copas!R11="","",copas!R11)</f>
        <v>0.25</v>
      </c>
      <c r="S11" s="108" t="str">
        <f>IF(copas!S11="","",copas!S11)</f>
        <v/>
      </c>
      <c r="T11" s="108" t="b">
        <f>IF(copas!T11="","",copas!T11)</f>
        <v>1</v>
      </c>
      <c r="U11" s="108" t="b">
        <f>IF(copas!U11="","",copas!U11)</f>
        <v>1</v>
      </c>
      <c r="V11" s="108" t="str">
        <f>IF(copas!V11="","",copas!V11)</f>
        <v>MI LABRUK KIDUL</v>
      </c>
      <c r="W11" s="108">
        <f>IF(copas!W11="","",copas!W11)</f>
        <v>1</v>
      </c>
      <c r="X11" s="108" t="str">
        <f>IF(copas!X11="","",copas!X11)</f>
        <v/>
      </c>
      <c r="Y11" s="108" t="str">
        <f>IF(copas!Y11="","",copas!Y11)</f>
        <v/>
      </c>
      <c r="Z11" s="108">
        <f>IF(copas!Z11="","",copas!Z11)</f>
        <v>0.27708333333333335</v>
      </c>
      <c r="AA11" s="108" t="str">
        <f>IF(copas!AA11="","",copas!AA11)</f>
        <v/>
      </c>
      <c r="AB11" s="108" t="str">
        <f>IF(copas!AB11="","",copas!AB11)</f>
        <v/>
      </c>
      <c r="AC11" s="108" t="str">
        <f>IF(copas!AC11="","",copas!AC11)</f>
        <v/>
      </c>
      <c r="AD11" s="108">
        <f>IF(copas!AD11="","",copas!AD11)</f>
        <v>5</v>
      </c>
      <c r="AG11" s="118">
        <v>3</v>
      </c>
      <c r="AH11" s="118">
        <v>3</v>
      </c>
    </row>
    <row r="12" spans="1:34" s="46" customFormat="1" ht="20.25" customHeight="1" x14ac:dyDescent="0.2">
      <c r="A12" s="108" t="str">
        <f>IF(copas!A12="","",copas!A12)</f>
        <v>78</v>
      </c>
      <c r="B12" s="108" t="str">
        <f>IF(copas!B12="","",copas!B12)</f>
        <v>17</v>
      </c>
      <c r="C12" s="108" t="str">
        <f>IF(copas!C12="","",copas!C12)</f>
        <v>20521001187003</v>
      </c>
      <c r="D12" s="108" t="str">
        <f>IF(copas!D12="","",copas!D12)</f>
        <v>EVI NUNING</v>
      </c>
      <c r="E12" s="108" t="str">
        <f>IF(copas!E12="","",copas!E12)</f>
        <v/>
      </c>
      <c r="F12" s="113">
        <f>IF(copas!F12="","",copas!F12)</f>
        <v>43721</v>
      </c>
      <c r="G12" s="108" t="str">
        <f>IF(copas!G12="","",copas!G12)</f>
        <v>Sergu Jum</v>
      </c>
      <c r="H12" s="107">
        <f>IF(copas!H12="","",copas!H12)</f>
        <v>0.29166666666666669</v>
      </c>
      <c r="I12" s="107">
        <f>IF(copas!I12="","",copas!I12)</f>
        <v>0.45833333333333331</v>
      </c>
      <c r="J12" s="107">
        <f>IF(copas!J12="","",copas!J12)+TIME(0,AG12,0)</f>
        <v>0.28125</v>
      </c>
      <c r="K12" s="107">
        <f>IF(copas!K12="","",copas!K12)+TIME(0,AH12,0)</f>
        <v>0.46111111111111108</v>
      </c>
      <c r="L12" s="108">
        <f>IF(copas!L12="","",copas!L12)</f>
        <v>1</v>
      </c>
      <c r="M12" s="108">
        <f>IF(copas!M12="","",copas!M12)</f>
        <v>1</v>
      </c>
      <c r="N12" s="108" t="str">
        <f>IF(copas!N12="","",copas!N12)</f>
        <v/>
      </c>
      <c r="O12" s="108" t="str">
        <f>IF(copas!O12="","",copas!O12)</f>
        <v/>
      </c>
      <c r="P12" s="108" t="str">
        <f>IF(copas!P12="","",copas!P12)</f>
        <v/>
      </c>
      <c r="Q12" s="108" t="str">
        <f>IF(copas!Q12="","",copas!Q12)</f>
        <v/>
      </c>
      <c r="R12" s="108">
        <f>IF(copas!R12="","",copas!R12)</f>
        <v>0.16666666666666666</v>
      </c>
      <c r="S12" s="108" t="str">
        <f>IF(copas!S12="","",copas!S12)</f>
        <v/>
      </c>
      <c r="T12" s="108" t="b">
        <f>IF(copas!T12="","",copas!T12)</f>
        <v>1</v>
      </c>
      <c r="U12" s="108" t="b">
        <f>IF(copas!U12="","",copas!U12)</f>
        <v>1</v>
      </c>
      <c r="V12" s="108" t="str">
        <f>IF(copas!V12="","",copas!V12)</f>
        <v>MI LABRUK KIDUL</v>
      </c>
      <c r="W12" s="108">
        <f>IF(copas!W12="","",copas!W12)</f>
        <v>1</v>
      </c>
      <c r="X12" s="108" t="str">
        <f>IF(copas!X12="","",copas!X12)</f>
        <v/>
      </c>
      <c r="Y12" s="108" t="str">
        <f>IF(copas!Y12="","",copas!Y12)</f>
        <v/>
      </c>
      <c r="Z12" s="108">
        <f>IF(copas!Z12="","",copas!Z12)</f>
        <v>0.18055555555555555</v>
      </c>
      <c r="AA12" s="108" t="str">
        <f>IF(copas!AA12="","",copas!AA12)</f>
        <v/>
      </c>
      <c r="AB12" s="108" t="str">
        <f>IF(copas!AB12="","",copas!AB12)</f>
        <v/>
      </c>
      <c r="AC12" s="108" t="str">
        <f>IF(copas!AC12="","",copas!AC12)</f>
        <v/>
      </c>
      <c r="AD12" s="108">
        <f>IF(copas!AD12="","",copas!AD12)</f>
        <v>6</v>
      </c>
      <c r="AG12" s="118">
        <v>3</v>
      </c>
      <c r="AH12" s="118">
        <v>2</v>
      </c>
    </row>
    <row r="13" spans="1:34" s="46" customFormat="1" ht="20.25" customHeight="1" x14ac:dyDescent="0.2">
      <c r="A13" s="108" t="str">
        <f>IF(copas!A13="","",copas!A13)</f>
        <v>78</v>
      </c>
      <c r="B13" s="108" t="str">
        <f>IF(copas!B13="","",copas!B13)</f>
        <v>17</v>
      </c>
      <c r="C13" s="108" t="str">
        <f>IF(copas!C13="","",copas!C13)</f>
        <v>20521001187003</v>
      </c>
      <c r="D13" s="108" t="str">
        <f>IF(copas!D13="","",copas!D13)</f>
        <v>EVI NUNING</v>
      </c>
      <c r="E13" s="108" t="str">
        <f>IF(copas!E13="","",copas!E13)</f>
        <v/>
      </c>
      <c r="F13" s="113">
        <f>IF(copas!F13="","",copas!F13)</f>
        <v>43722</v>
      </c>
      <c r="G13" s="108" t="str">
        <f>IF(copas!G13="","",copas!G13)</f>
        <v>sergu sabtu</v>
      </c>
      <c r="H13" s="107">
        <f>IF(copas!H13="","",copas!H13)</f>
        <v>0.29166666666666669</v>
      </c>
      <c r="I13" s="107">
        <f>IF(copas!I13="","",copas!I13)</f>
        <v>0.5</v>
      </c>
      <c r="J13" s="107">
        <f>IF(copas!J13="","",copas!J13)+TIME(0,AG13,0)</f>
        <v>0.28611111111111109</v>
      </c>
      <c r="K13" s="107">
        <f>IF(copas!K13="","",copas!K13)+TIME(0,AH13,0)</f>
        <v>0.54722222222222228</v>
      </c>
      <c r="L13" s="108">
        <f>IF(copas!L13="","",copas!L13)</f>
        <v>1</v>
      </c>
      <c r="M13" s="108">
        <f>IF(copas!M13="","",copas!M13)</f>
        <v>1</v>
      </c>
      <c r="N13" s="108" t="str">
        <f>IF(copas!N13="","",copas!N13)</f>
        <v/>
      </c>
      <c r="O13" s="108" t="str">
        <f>IF(copas!O13="","",copas!O13)</f>
        <v/>
      </c>
      <c r="P13" s="108" t="str">
        <f>IF(copas!P13="","",copas!P13)</f>
        <v/>
      </c>
      <c r="Q13" s="108" t="str">
        <f>IF(copas!Q13="","",copas!Q13)</f>
        <v/>
      </c>
      <c r="R13" s="108">
        <f>IF(copas!R13="","",copas!R13)</f>
        <v>0.20833333333333334</v>
      </c>
      <c r="S13" s="108" t="str">
        <f>IF(copas!S13="","",copas!S13)</f>
        <v/>
      </c>
      <c r="T13" s="108" t="b">
        <f>IF(copas!T13="","",copas!T13)</f>
        <v>1</v>
      </c>
      <c r="U13" s="108" t="b">
        <f>IF(copas!U13="","",copas!U13)</f>
        <v>1</v>
      </c>
      <c r="V13" s="108" t="str">
        <f>IF(copas!V13="","",copas!V13)</f>
        <v>MI LABRUK KIDUL</v>
      </c>
      <c r="W13" s="108" t="str">
        <f>IF(copas!W13="","",copas!W13)</f>
        <v/>
      </c>
      <c r="X13" s="108">
        <f>IF(copas!X13="","",copas!X13)</f>
        <v>1</v>
      </c>
      <c r="Y13" s="108" t="str">
        <f>IF(copas!Y13="","",copas!Y13)</f>
        <v/>
      </c>
      <c r="Z13" s="108">
        <f>IF(copas!Z13="","",copas!Z13)</f>
        <v>0.26180555555555557</v>
      </c>
      <c r="AA13" s="108" t="str">
        <f>IF(copas!AA13="","",copas!AA13)</f>
        <v/>
      </c>
      <c r="AB13" s="108" t="str">
        <f>IF(copas!AB13="","",copas!AB13)</f>
        <v/>
      </c>
      <c r="AC13" s="108" t="str">
        <f>IF(copas!AC13="","",copas!AC13)</f>
        <v/>
      </c>
      <c r="AD13" s="108">
        <f>IF(copas!AD13="","",copas!AD13)</f>
        <v>7</v>
      </c>
      <c r="AE13" s="102"/>
      <c r="AG13" s="118">
        <v>2</v>
      </c>
      <c r="AH13" s="118">
        <v>1</v>
      </c>
    </row>
    <row r="14" spans="1:34" s="46" customFormat="1" ht="20.25" customHeight="1" x14ac:dyDescent="0.2">
      <c r="A14" s="108" t="str">
        <f>IF(copas!A14="","",copas!A14)</f>
        <v>78</v>
      </c>
      <c r="B14" s="108" t="str">
        <f>IF(copas!B14="","",copas!B14)</f>
        <v>17</v>
      </c>
      <c r="C14" s="108" t="str">
        <f>IF(copas!C14="","",copas!C14)</f>
        <v>20521001187003</v>
      </c>
      <c r="D14" s="108" t="str">
        <f>IF(copas!D14="","",copas!D14)</f>
        <v>EVI NUNING</v>
      </c>
      <c r="E14" s="108" t="str">
        <f>IF(copas!E14="","",copas!E14)</f>
        <v/>
      </c>
      <c r="F14" s="113">
        <f>IF(copas!F14="","",copas!F14)</f>
        <v>43724</v>
      </c>
      <c r="G14" s="108" t="str">
        <f>IF(copas!G14="","",copas!G14)</f>
        <v>Sergu Sen-Kam</v>
      </c>
      <c r="H14" s="107">
        <f>IF(copas!H14="","",copas!H14)</f>
        <v>0.29166666666666669</v>
      </c>
      <c r="I14" s="107">
        <f>IF(copas!I14="","",copas!I14)</f>
        <v>0.54166666666666663</v>
      </c>
      <c r="J14" s="107">
        <f>IF(copas!J14="","",copas!J14)+TIME(0,AG14,0)</f>
        <v>0.28055555555555556</v>
      </c>
      <c r="K14" s="107">
        <f>IF(copas!K14="","",copas!K14)+TIME(0,AH14,0)</f>
        <v>0.56180555555555556</v>
      </c>
      <c r="L14" s="108">
        <f>IF(copas!L14="","",copas!L14)</f>
        <v>1</v>
      </c>
      <c r="M14" s="108">
        <f>IF(copas!M14="","",copas!M14)</f>
        <v>1</v>
      </c>
      <c r="N14" s="108" t="str">
        <f>IF(copas!N14="","",copas!N14)</f>
        <v/>
      </c>
      <c r="O14" s="108" t="str">
        <f>IF(copas!O14="","",copas!O14)</f>
        <v/>
      </c>
      <c r="P14" s="108" t="str">
        <f>IF(copas!P14="","",copas!P14)</f>
        <v/>
      </c>
      <c r="Q14" s="108" t="str">
        <f>IF(copas!Q14="","",copas!Q14)</f>
        <v/>
      </c>
      <c r="R14" s="108">
        <f>IF(copas!R14="","",copas!R14)</f>
        <v>0.25</v>
      </c>
      <c r="S14" s="108" t="str">
        <f>IF(copas!S14="","",copas!S14)</f>
        <v/>
      </c>
      <c r="T14" s="108" t="b">
        <f>IF(copas!T14="","",copas!T14)</f>
        <v>1</v>
      </c>
      <c r="U14" s="108" t="b">
        <f>IF(copas!U14="","",copas!U14)</f>
        <v>1</v>
      </c>
      <c r="V14" s="108" t="str">
        <f>IF(copas!V14="","",copas!V14)</f>
        <v>MI LABRUK KIDUL</v>
      </c>
      <c r="W14" s="108">
        <f>IF(copas!W14="","",copas!W14)</f>
        <v>1</v>
      </c>
      <c r="X14" s="108" t="str">
        <f>IF(copas!X14="","",copas!X14)</f>
        <v/>
      </c>
      <c r="Y14" s="108" t="str">
        <f>IF(copas!Y14="","",copas!Y14)</f>
        <v/>
      </c>
      <c r="Z14" s="108">
        <f>IF(copas!Z14="","",copas!Z14)</f>
        <v>0.28125</v>
      </c>
      <c r="AA14" s="108" t="str">
        <f>IF(copas!AA14="","",copas!AA14)</f>
        <v/>
      </c>
      <c r="AB14" s="108" t="str">
        <f>IF(copas!AB14="","",copas!AB14)</f>
        <v/>
      </c>
      <c r="AC14" s="108" t="str">
        <f>IF(copas!AC14="","",copas!AC14)</f>
        <v/>
      </c>
      <c r="AD14" s="108">
        <f>IF(copas!AD14="","",copas!AD14)</f>
        <v>2</v>
      </c>
      <c r="AE14" s="103"/>
      <c r="AG14" s="118">
        <v>3</v>
      </c>
      <c r="AH14" s="118">
        <v>3</v>
      </c>
    </row>
    <row r="15" spans="1:34" s="46" customFormat="1" ht="20.25" customHeight="1" x14ac:dyDescent="0.2">
      <c r="A15" s="108" t="str">
        <f>IF(copas!A15="","",copas!A15)</f>
        <v>78</v>
      </c>
      <c r="B15" s="108" t="str">
        <f>IF(copas!B15="","",copas!B15)</f>
        <v>17</v>
      </c>
      <c r="C15" s="108" t="str">
        <f>IF(copas!C15="","",copas!C15)</f>
        <v>20521001187003</v>
      </c>
      <c r="D15" s="108" t="str">
        <f>IF(copas!D15="","",copas!D15)</f>
        <v>EVI NUNING</v>
      </c>
      <c r="E15" s="108" t="str">
        <f>IF(copas!E15="","",copas!E15)</f>
        <v/>
      </c>
      <c r="F15" s="113">
        <f>IF(copas!F15="","",copas!F15)</f>
        <v>43725</v>
      </c>
      <c r="G15" s="108" t="str">
        <f>IF(copas!G15="","",copas!G15)</f>
        <v>Sergu Sen-Kam</v>
      </c>
      <c r="H15" s="107">
        <f>IF(copas!H15="","",copas!H15)</f>
        <v>0.29166666666666669</v>
      </c>
      <c r="I15" s="107">
        <f>IF(copas!I15="","",copas!I15)</f>
        <v>0.54166666666666663</v>
      </c>
      <c r="J15" s="107">
        <f>IF(copas!J15="","",copas!J15)+TIME(0,AG15,0)</f>
        <v>0.28263888888888888</v>
      </c>
      <c r="K15" s="107">
        <f>IF(copas!K15="","",copas!K15)+TIME(0,AH15,0)</f>
        <v>0.57430555555555551</v>
      </c>
      <c r="L15" s="108">
        <f>IF(copas!L15="","",copas!L15)</f>
        <v>1</v>
      </c>
      <c r="M15" s="108">
        <f>IF(copas!M15="","",copas!M15)</f>
        <v>1</v>
      </c>
      <c r="N15" s="108" t="str">
        <f>IF(copas!N15="","",copas!N15)</f>
        <v/>
      </c>
      <c r="O15" s="108" t="str">
        <f>IF(copas!O15="","",copas!O15)</f>
        <v/>
      </c>
      <c r="P15" s="108" t="str">
        <f>IF(copas!P15="","",copas!P15)</f>
        <v/>
      </c>
      <c r="Q15" s="108" t="str">
        <f>IF(copas!Q15="","",copas!Q15)</f>
        <v/>
      </c>
      <c r="R15" s="108">
        <f>IF(copas!R15="","",copas!R15)</f>
        <v>0.25</v>
      </c>
      <c r="S15" s="108" t="str">
        <f>IF(copas!S15="","",copas!S15)</f>
        <v/>
      </c>
      <c r="T15" s="108" t="b">
        <f>IF(copas!T15="","",copas!T15)</f>
        <v>1</v>
      </c>
      <c r="U15" s="108" t="b">
        <f>IF(copas!U15="","",copas!U15)</f>
        <v>1</v>
      </c>
      <c r="V15" s="108" t="str">
        <f>IF(copas!V15="","",copas!V15)</f>
        <v>MI LABRUK KIDUL</v>
      </c>
      <c r="W15" s="108">
        <f>IF(copas!W15="","",copas!W15)</f>
        <v>1</v>
      </c>
      <c r="X15" s="108" t="str">
        <f>IF(copas!X15="","",copas!X15)</f>
        <v/>
      </c>
      <c r="Y15" s="108" t="str">
        <f>IF(copas!Y15="","",copas!Y15)</f>
        <v/>
      </c>
      <c r="Z15" s="108">
        <f>IF(copas!Z15="","",copas!Z15)</f>
        <v>0.29166666666666669</v>
      </c>
      <c r="AA15" s="108" t="str">
        <f>IF(copas!AA15="","",copas!AA15)</f>
        <v/>
      </c>
      <c r="AB15" s="108" t="str">
        <f>IF(copas!AB15="","",copas!AB15)</f>
        <v/>
      </c>
      <c r="AC15" s="108" t="str">
        <f>IF(copas!AC15="","",copas!AC15)</f>
        <v/>
      </c>
      <c r="AD15" s="108">
        <f>IF(copas!AD15="","",copas!AD15)</f>
        <v>3</v>
      </c>
      <c r="AG15" s="118">
        <v>3</v>
      </c>
      <c r="AH15" s="118">
        <v>3</v>
      </c>
    </row>
    <row r="16" spans="1:34" s="46" customFormat="1" ht="20.25" customHeight="1" x14ac:dyDescent="0.2">
      <c r="A16" s="108" t="str">
        <f>IF(copas!A16="","",copas!A16)</f>
        <v>78</v>
      </c>
      <c r="B16" s="108" t="str">
        <f>IF(copas!B16="","",copas!B16)</f>
        <v>17</v>
      </c>
      <c r="C16" s="108" t="str">
        <f>IF(copas!C16="","",copas!C16)</f>
        <v>20521001187003</v>
      </c>
      <c r="D16" s="108" t="str">
        <f>IF(copas!D16="","",copas!D16)</f>
        <v>EVI NUNING</v>
      </c>
      <c r="E16" s="108" t="str">
        <f>IF(copas!E16="","",copas!E16)</f>
        <v/>
      </c>
      <c r="F16" s="113">
        <f>IF(copas!F16="","",copas!F16)</f>
        <v>43726</v>
      </c>
      <c r="G16" s="108" t="str">
        <f>IF(copas!G16="","",copas!G16)</f>
        <v>Sergu Sen-Kam</v>
      </c>
      <c r="H16" s="107">
        <f>IF(copas!H16="","",copas!H16)</f>
        <v>0.29166666666666669</v>
      </c>
      <c r="I16" s="107">
        <f>IF(copas!I16="","",copas!I16)</f>
        <v>0.54166666666666663</v>
      </c>
      <c r="J16" s="107">
        <f>IF(copas!J16="","",copas!J16)+TIME(0,AG16,0)</f>
        <v>0.27152777777777776</v>
      </c>
      <c r="K16" s="107">
        <f>IF(copas!K16="","",copas!K16)+TIME(0,AH16,0)</f>
        <v>0.57152777777777775</v>
      </c>
      <c r="L16" s="108">
        <f>IF(copas!L16="","",copas!L16)</f>
        <v>1</v>
      </c>
      <c r="M16" s="108">
        <f>IF(copas!M16="","",copas!M16)</f>
        <v>1</v>
      </c>
      <c r="N16" s="108" t="str">
        <f>IF(copas!N16="","",copas!N16)</f>
        <v/>
      </c>
      <c r="O16" s="108" t="str">
        <f>IF(copas!O16="","",copas!O16)</f>
        <v/>
      </c>
      <c r="P16" s="108" t="str">
        <f>IF(copas!P16="","",copas!P16)</f>
        <v/>
      </c>
      <c r="Q16" s="108" t="str">
        <f>IF(copas!Q16="","",copas!Q16)</f>
        <v/>
      </c>
      <c r="R16" s="108">
        <f>IF(copas!R16="","",copas!R16)</f>
        <v>0.25</v>
      </c>
      <c r="S16" s="108" t="str">
        <f>IF(copas!S16="","",copas!S16)</f>
        <v/>
      </c>
      <c r="T16" s="108" t="b">
        <f>IF(copas!T16="","",copas!T16)</f>
        <v>1</v>
      </c>
      <c r="U16" s="108" t="b">
        <f>IF(copas!U16="","",copas!U16)</f>
        <v>1</v>
      </c>
      <c r="V16" s="108" t="str">
        <f>IF(copas!V16="","",copas!V16)</f>
        <v>MI LABRUK KIDUL</v>
      </c>
      <c r="W16" s="108">
        <f>IF(copas!W16="","",copas!W16)</f>
        <v>1</v>
      </c>
      <c r="X16" s="108" t="str">
        <f>IF(copas!X16="","",copas!X16)</f>
        <v/>
      </c>
      <c r="Y16" s="108" t="str">
        <f>IF(copas!Y16="","",copas!Y16)</f>
        <v/>
      </c>
      <c r="Z16" s="108">
        <f>IF(copas!Z16="","",copas!Z16)</f>
        <v>0.3</v>
      </c>
      <c r="AA16" s="108" t="str">
        <f>IF(copas!AA16="","",copas!AA16)</f>
        <v/>
      </c>
      <c r="AB16" s="108" t="str">
        <f>IF(copas!AB16="","",copas!AB16)</f>
        <v/>
      </c>
      <c r="AC16" s="108" t="str">
        <f>IF(copas!AC16="","",copas!AC16)</f>
        <v/>
      </c>
      <c r="AD16" s="108">
        <f>IF(copas!AD16="","",copas!AD16)</f>
        <v>4</v>
      </c>
      <c r="AG16" s="118">
        <v>2</v>
      </c>
      <c r="AH16" s="118">
        <v>2</v>
      </c>
    </row>
    <row r="17" spans="1:34" s="46" customFormat="1" ht="20.25" customHeight="1" x14ac:dyDescent="0.2">
      <c r="A17" s="108" t="str">
        <f>IF(copas!A17="","",copas!A17)</f>
        <v>78</v>
      </c>
      <c r="B17" s="108" t="str">
        <f>IF(copas!B17="","",copas!B17)</f>
        <v>17</v>
      </c>
      <c r="C17" s="108" t="str">
        <f>IF(copas!C17="","",copas!C17)</f>
        <v>20521001187003</v>
      </c>
      <c r="D17" s="108" t="str">
        <f>IF(copas!D17="","",copas!D17)</f>
        <v>EVI NUNING</v>
      </c>
      <c r="E17" s="108" t="str">
        <f>IF(copas!E17="","",copas!E17)</f>
        <v/>
      </c>
      <c r="F17" s="113">
        <f>IF(copas!F17="","",copas!F17)</f>
        <v>43727</v>
      </c>
      <c r="G17" s="108" t="str">
        <f>IF(copas!G17="","",copas!G17)</f>
        <v>Sergu Sen-Kam</v>
      </c>
      <c r="H17" s="107">
        <f>IF(copas!H17="","",copas!H17)</f>
        <v>0.29166666666666669</v>
      </c>
      <c r="I17" s="107">
        <f>IF(copas!I17="","",copas!I17)</f>
        <v>0.54166666666666663</v>
      </c>
      <c r="J17" s="107">
        <f>IF(copas!J17="","",copas!J17)+TIME(0,AG17,0)</f>
        <v>0.28333333333333333</v>
      </c>
      <c r="K17" s="107">
        <f>IF(copas!K17="","",copas!K17)+TIME(0,AH17,0)</f>
        <v>0.54374999999999996</v>
      </c>
      <c r="L17" s="108">
        <f>IF(copas!L17="","",copas!L17)</f>
        <v>1</v>
      </c>
      <c r="M17" s="108">
        <f>IF(copas!M17="","",copas!M17)</f>
        <v>1</v>
      </c>
      <c r="N17" s="108" t="str">
        <f>IF(copas!N17="","",copas!N17)</f>
        <v/>
      </c>
      <c r="O17" s="108">
        <f>IF(copas!O17="","",copas!O17)</f>
        <v>4.1666666666666664E-2</v>
      </c>
      <c r="P17" s="108" t="str">
        <f>IF(copas!P17="","",copas!P17)</f>
        <v/>
      </c>
      <c r="Q17" s="108" t="str">
        <f>IF(copas!Q17="","",copas!Q17)</f>
        <v/>
      </c>
      <c r="R17" s="108">
        <f>IF(copas!R17="","",copas!R17)</f>
        <v>0.20833333333333334</v>
      </c>
      <c r="S17" s="108" t="str">
        <f>IF(copas!S17="","",copas!S17)</f>
        <v/>
      </c>
      <c r="T17" s="108" t="b">
        <f>IF(copas!T17="","",copas!T17)</f>
        <v>1</v>
      </c>
      <c r="U17" s="108" t="b">
        <f>IF(copas!U17="","",copas!U17)</f>
        <v>1</v>
      </c>
      <c r="V17" s="108" t="str">
        <f>IF(copas!V17="","",copas!V17)</f>
        <v>MI LABRUK KIDUL</v>
      </c>
      <c r="W17" s="108">
        <f>IF(copas!W17="","",copas!W17)</f>
        <v>1</v>
      </c>
      <c r="X17" s="108" t="str">
        <f>IF(copas!X17="","",copas!X17)</f>
        <v/>
      </c>
      <c r="Y17" s="108" t="str">
        <f>IF(copas!Y17="","",copas!Y17)</f>
        <v/>
      </c>
      <c r="Z17" s="108">
        <f>IF(copas!Z17="","",copas!Z17)</f>
        <v>0.21805555555555556</v>
      </c>
      <c r="AA17" s="108" t="str">
        <f>IF(copas!AA17="","",copas!AA17)</f>
        <v/>
      </c>
      <c r="AB17" s="108" t="str">
        <f>IF(copas!AB17="","",copas!AB17)</f>
        <v/>
      </c>
      <c r="AC17" s="108" t="str">
        <f>IF(copas!AC17="","",copas!AC17)</f>
        <v/>
      </c>
      <c r="AD17" s="108">
        <f>IF(copas!AD17="","",copas!AD17)</f>
        <v>5</v>
      </c>
      <c r="AG17" s="118">
        <v>3</v>
      </c>
      <c r="AH17" s="118">
        <v>3</v>
      </c>
    </row>
    <row r="18" spans="1:34" s="46" customFormat="1" ht="20.25" customHeight="1" x14ac:dyDescent="0.2">
      <c r="A18" s="108" t="str">
        <f>IF(copas!A18="","",copas!A18)</f>
        <v>78</v>
      </c>
      <c r="B18" s="108" t="str">
        <f>IF(copas!B18="","",copas!B18)</f>
        <v>17</v>
      </c>
      <c r="C18" s="108" t="str">
        <f>IF(copas!C18="","",copas!C18)</f>
        <v>20521001187003</v>
      </c>
      <c r="D18" s="108" t="str">
        <f>IF(copas!D18="","",copas!D18)</f>
        <v>EVI NUNING</v>
      </c>
      <c r="E18" s="108" t="str">
        <f>IF(copas!E18="","",copas!E18)</f>
        <v/>
      </c>
      <c r="F18" s="113">
        <f>IF(copas!F18="","",copas!F18)</f>
        <v>43728</v>
      </c>
      <c r="G18" s="108" t="str">
        <f>IF(copas!G18="","",copas!G18)</f>
        <v>Sergu Jum</v>
      </c>
      <c r="H18" s="107">
        <f>IF(copas!H18="","",copas!H18)</f>
        <v>0.29166666666666669</v>
      </c>
      <c r="I18" s="107">
        <f>IF(copas!I18="","",copas!I18)</f>
        <v>0.45833333333333331</v>
      </c>
      <c r="J18" s="107">
        <f>IF(copas!J18="","",copas!J18)+TIME(0,AG18,0)</f>
        <v>0.28541666666666665</v>
      </c>
      <c r="K18" s="107">
        <f>IF(copas!K18="","",copas!K18)+TIME(0,AH18,0)</f>
        <v>0.46111111111111114</v>
      </c>
      <c r="L18" s="108">
        <f>IF(copas!L18="","",copas!L18)</f>
        <v>1</v>
      </c>
      <c r="M18" s="108">
        <f>IF(copas!M18="","",copas!M18)</f>
        <v>1</v>
      </c>
      <c r="N18" s="108" t="str">
        <f>IF(copas!N18="","",copas!N18)</f>
        <v/>
      </c>
      <c r="O18" s="108" t="str">
        <f>IF(copas!O18="","",copas!O18)</f>
        <v/>
      </c>
      <c r="P18" s="108" t="str">
        <f>IF(copas!P18="","",copas!P18)</f>
        <v/>
      </c>
      <c r="Q18" s="108" t="str">
        <f>IF(copas!Q18="","",copas!Q18)</f>
        <v/>
      </c>
      <c r="R18" s="108">
        <f>IF(copas!R18="","",copas!R18)</f>
        <v>0.16666666666666666</v>
      </c>
      <c r="S18" s="108" t="str">
        <f>IF(copas!S18="","",copas!S18)</f>
        <v/>
      </c>
      <c r="T18" s="108" t="b">
        <f>IF(copas!T18="","",copas!T18)</f>
        <v>1</v>
      </c>
      <c r="U18" s="108" t="b">
        <f>IF(copas!U18="","",copas!U18)</f>
        <v>1</v>
      </c>
      <c r="V18" s="108" t="str">
        <f>IF(copas!V18="","",copas!V18)</f>
        <v>MI LABRUK KIDUL</v>
      </c>
      <c r="W18" s="108">
        <f>IF(copas!W18="","",copas!W18)</f>
        <v>1</v>
      </c>
      <c r="X18" s="108" t="str">
        <f>IF(copas!X18="","",copas!X18)</f>
        <v/>
      </c>
      <c r="Y18" s="108" t="str">
        <f>IF(copas!Y18="","",copas!Y18)</f>
        <v/>
      </c>
      <c r="Z18" s="108">
        <f>IF(copas!Z18="","",copas!Z18)</f>
        <v>0.17569444444444446</v>
      </c>
      <c r="AA18" s="108" t="str">
        <f>IF(copas!AA18="","",copas!AA18)</f>
        <v/>
      </c>
      <c r="AB18" s="108" t="str">
        <f>IF(copas!AB18="","",copas!AB18)</f>
        <v/>
      </c>
      <c r="AC18" s="108" t="str">
        <f>IF(copas!AC18="","",copas!AC18)</f>
        <v/>
      </c>
      <c r="AD18" s="108">
        <f>IF(copas!AD18="","",copas!AD18)</f>
        <v>6</v>
      </c>
      <c r="AG18" s="118">
        <v>3</v>
      </c>
      <c r="AH18" s="118">
        <v>3</v>
      </c>
    </row>
    <row r="19" spans="1:34" s="46" customFormat="1" ht="20.25" customHeight="1" x14ac:dyDescent="0.2">
      <c r="A19" s="108" t="str">
        <f>IF(copas!A19="","",copas!A19)</f>
        <v>78</v>
      </c>
      <c r="B19" s="108" t="str">
        <f>IF(copas!B19="","",copas!B19)</f>
        <v>17</v>
      </c>
      <c r="C19" s="108" t="str">
        <f>IF(copas!C19="","",copas!C19)</f>
        <v>20521001187003</v>
      </c>
      <c r="D19" s="108" t="str">
        <f>IF(copas!D19="","",copas!D19)</f>
        <v>EVI NUNING</v>
      </c>
      <c r="E19" s="108" t="str">
        <f>IF(copas!E19="","",copas!E19)</f>
        <v/>
      </c>
      <c r="F19" s="113">
        <f>IF(copas!F19="","",copas!F19)</f>
        <v>43729</v>
      </c>
      <c r="G19" s="108" t="str">
        <f>IF(copas!G19="","",copas!G19)</f>
        <v>sergu sabtu</v>
      </c>
      <c r="H19" s="107">
        <f>IF(copas!H19="","",copas!H19)</f>
        <v>0.29166666666666669</v>
      </c>
      <c r="I19" s="107">
        <f>IF(copas!I19="","",copas!I19)</f>
        <v>0.5</v>
      </c>
      <c r="J19" s="107">
        <f>IF(copas!J19="","",copas!J19)+TIME(0,AG19,0)</f>
        <v>0.28125</v>
      </c>
      <c r="K19" s="107">
        <f>IF(copas!K19="","",copas!K19)+TIME(0,AH19,0)</f>
        <v>0.53194444444444444</v>
      </c>
      <c r="L19" s="108">
        <f>IF(copas!L19="","",copas!L19)</f>
        <v>1</v>
      </c>
      <c r="M19" s="108">
        <f>IF(copas!M19="","",copas!M19)</f>
        <v>1</v>
      </c>
      <c r="N19" s="108" t="str">
        <f>IF(copas!N19="","",copas!N19)</f>
        <v/>
      </c>
      <c r="O19" s="108" t="str">
        <f>IF(copas!O19="","",copas!O19)</f>
        <v/>
      </c>
      <c r="P19" s="108" t="str">
        <f>IF(copas!P19="","",copas!P19)</f>
        <v/>
      </c>
      <c r="Q19" s="108" t="str">
        <f>IF(copas!Q19="","",copas!Q19)</f>
        <v/>
      </c>
      <c r="R19" s="108">
        <f>IF(copas!R19="","",copas!R19)</f>
        <v>0.20833333333333334</v>
      </c>
      <c r="S19" s="108" t="str">
        <f>IF(copas!S19="","",copas!S19)</f>
        <v/>
      </c>
      <c r="T19" s="108" t="b">
        <f>IF(copas!T19="","",copas!T19)</f>
        <v>1</v>
      </c>
      <c r="U19" s="108" t="b">
        <f>IF(copas!U19="","",copas!U19)</f>
        <v>1</v>
      </c>
      <c r="V19" s="108" t="str">
        <f>IF(copas!V19="","",copas!V19)</f>
        <v>MI LABRUK KIDUL</v>
      </c>
      <c r="W19" s="108" t="str">
        <f>IF(copas!W19="","",copas!W19)</f>
        <v/>
      </c>
      <c r="X19" s="108">
        <f>IF(copas!X19="","",copas!X19)</f>
        <v>1</v>
      </c>
      <c r="Y19" s="108" t="str">
        <f>IF(copas!Y19="","",copas!Y19)</f>
        <v/>
      </c>
      <c r="Z19" s="108">
        <f>IF(copas!Z19="","",copas!Z19)</f>
        <v>0.25069444444444444</v>
      </c>
      <c r="AA19" s="108" t="str">
        <f>IF(copas!AA19="","",copas!AA19)</f>
        <v/>
      </c>
      <c r="AB19" s="108" t="str">
        <f>IF(copas!AB19="","",copas!AB19)</f>
        <v/>
      </c>
      <c r="AC19" s="108" t="str">
        <f>IF(copas!AC19="","",copas!AC19)</f>
        <v/>
      </c>
      <c r="AD19" s="108">
        <f>IF(copas!AD19="","",copas!AD19)</f>
        <v>7</v>
      </c>
      <c r="AE19" s="102"/>
      <c r="AG19" s="118">
        <v>2</v>
      </c>
      <c r="AH19" s="118">
        <v>2</v>
      </c>
    </row>
    <row r="20" spans="1:34" s="46" customFormat="1" ht="20.25" customHeight="1" x14ac:dyDescent="0.2">
      <c r="A20" s="108" t="str">
        <f>IF(copas!A20="","",copas!A20)</f>
        <v>78</v>
      </c>
      <c r="B20" s="108" t="str">
        <f>IF(copas!B20="","",copas!B20)</f>
        <v>17</v>
      </c>
      <c r="C20" s="108" t="str">
        <f>IF(copas!C20="","",copas!C20)</f>
        <v>20521001187003</v>
      </c>
      <c r="D20" s="108" t="str">
        <f>IF(copas!D20="","",copas!D20)</f>
        <v>EVI NUNING</v>
      </c>
      <c r="E20" s="108" t="str">
        <f>IF(copas!E20="","",copas!E20)</f>
        <v/>
      </c>
      <c r="F20" s="113">
        <f>IF(copas!F20="","",copas!F20)</f>
        <v>43731</v>
      </c>
      <c r="G20" s="108" t="str">
        <f>IF(copas!G20="","",copas!G20)</f>
        <v>Sergu Sen-Kam</v>
      </c>
      <c r="H20" s="107">
        <f>IF(copas!H20="","",copas!H20)</f>
        <v>0.29166666666666669</v>
      </c>
      <c r="I20" s="107">
        <f>IF(copas!I20="","",copas!I20)</f>
        <v>0.54166666666666663</v>
      </c>
      <c r="J20" s="107">
        <f>IF(copas!J20="","",copas!J20)+TIME(0,AG20,0)</f>
        <v>0.28055555555555556</v>
      </c>
      <c r="K20" s="107">
        <f>IF(copas!K20="","",copas!K20)+TIME(0,AH20,0)</f>
        <v>0.5541666666666667</v>
      </c>
      <c r="L20" s="108">
        <f>IF(copas!L20="","",copas!L20)</f>
        <v>1</v>
      </c>
      <c r="M20" s="108">
        <f>IF(copas!M20="","",copas!M20)</f>
        <v>1</v>
      </c>
      <c r="N20" s="108" t="str">
        <f>IF(copas!N20="","",copas!N20)</f>
        <v/>
      </c>
      <c r="O20" s="108" t="str">
        <f>IF(copas!O20="","",copas!O20)</f>
        <v/>
      </c>
      <c r="P20" s="108" t="str">
        <f>IF(copas!P20="","",copas!P20)</f>
        <v/>
      </c>
      <c r="Q20" s="108" t="str">
        <f>IF(copas!Q20="","",copas!Q20)</f>
        <v/>
      </c>
      <c r="R20" s="108">
        <f>IF(copas!R20="","",copas!R20)</f>
        <v>0.25</v>
      </c>
      <c r="S20" s="108" t="str">
        <f>IF(copas!S20="","",copas!S20)</f>
        <v/>
      </c>
      <c r="T20" s="108" t="b">
        <f>IF(copas!T20="","",copas!T20)</f>
        <v>1</v>
      </c>
      <c r="U20" s="108" t="b">
        <f>IF(copas!U20="","",copas!U20)</f>
        <v>1</v>
      </c>
      <c r="V20" s="108" t="str">
        <f>IF(copas!V20="","",copas!V20)</f>
        <v>MI LABRUK KIDUL</v>
      </c>
      <c r="W20" s="108">
        <f>IF(copas!W20="","",copas!W20)</f>
        <v>1</v>
      </c>
      <c r="X20" s="108" t="str">
        <f>IF(copas!X20="","",copas!X20)</f>
        <v/>
      </c>
      <c r="Y20" s="108" t="str">
        <f>IF(copas!Y20="","",copas!Y20)</f>
        <v/>
      </c>
      <c r="Z20" s="108">
        <f>IF(copas!Z20="","",copas!Z20)</f>
        <v>0.27291666666666664</v>
      </c>
      <c r="AA20" s="108" t="str">
        <f>IF(copas!AA20="","",copas!AA20)</f>
        <v/>
      </c>
      <c r="AB20" s="108" t="str">
        <f>IF(copas!AB20="","",copas!AB20)</f>
        <v/>
      </c>
      <c r="AC20" s="108" t="str">
        <f>IF(copas!AC20="","",copas!AC20)</f>
        <v/>
      </c>
      <c r="AD20" s="108">
        <f>IF(copas!AD20="","",copas!AD20)</f>
        <v>2</v>
      </c>
      <c r="AE20" s="103"/>
      <c r="AG20" s="118">
        <v>3</v>
      </c>
      <c r="AH20" s="118">
        <v>3</v>
      </c>
    </row>
    <row r="21" spans="1:34" s="46" customFormat="1" ht="20.25" customHeight="1" x14ac:dyDescent="0.2">
      <c r="A21" s="108" t="str">
        <f>IF(copas!A21="","",copas!A21)</f>
        <v>78</v>
      </c>
      <c r="B21" s="108" t="str">
        <f>IF(copas!B21="","",copas!B21)</f>
        <v>17</v>
      </c>
      <c r="C21" s="108" t="str">
        <f>IF(copas!C21="","",copas!C21)</f>
        <v>20521001187003</v>
      </c>
      <c r="D21" s="108" t="str">
        <f>IF(copas!D21="","",copas!D21)</f>
        <v>EVI NUNING</v>
      </c>
      <c r="E21" s="108" t="str">
        <f>IF(copas!E21="","",copas!E21)</f>
        <v/>
      </c>
      <c r="F21" s="113">
        <f>IF(copas!F21="","",copas!F21)</f>
        <v>43732</v>
      </c>
      <c r="G21" s="108" t="str">
        <f>IF(copas!G21="","",copas!G21)</f>
        <v>Sergu Sen-Kam</v>
      </c>
      <c r="H21" s="107">
        <f>IF(copas!H21="","",copas!H21)</f>
        <v>0.29166666666666669</v>
      </c>
      <c r="I21" s="107">
        <f>IF(copas!I21="","",copas!I21)</f>
        <v>0.54166666666666663</v>
      </c>
      <c r="J21" s="107">
        <f>IF(copas!J21="","",copas!J21)+TIME(0,AG21,0)</f>
        <v>0.27430555555555552</v>
      </c>
      <c r="K21" s="107">
        <f>IF(copas!K21="","",copas!K21)+TIME(0,AH21,0)</f>
        <v>0.66527777777777775</v>
      </c>
      <c r="L21" s="108">
        <f>IF(copas!L21="","",copas!L21)</f>
        <v>1</v>
      </c>
      <c r="M21" s="108">
        <f>IF(copas!M21="","",copas!M21)</f>
        <v>1</v>
      </c>
      <c r="N21" s="108" t="str">
        <f>IF(copas!N21="","",copas!N21)</f>
        <v/>
      </c>
      <c r="O21" s="108" t="str">
        <f>IF(copas!O21="","",copas!O21)</f>
        <v/>
      </c>
      <c r="P21" s="108" t="str">
        <f>IF(copas!P21="","",copas!P21)</f>
        <v/>
      </c>
      <c r="Q21" s="108" t="str">
        <f>IF(copas!Q21="","",copas!Q21)</f>
        <v/>
      </c>
      <c r="R21" s="108">
        <f>IF(copas!R21="","",copas!R21)</f>
        <v>0.25</v>
      </c>
      <c r="S21" s="108" t="str">
        <f>IF(copas!S21="","",copas!S21)</f>
        <v/>
      </c>
      <c r="T21" s="108" t="b">
        <f>IF(copas!T21="","",copas!T21)</f>
        <v>1</v>
      </c>
      <c r="U21" s="108" t="b">
        <f>IF(copas!U21="","",copas!U21)</f>
        <v>1</v>
      </c>
      <c r="V21" s="108" t="str">
        <f>IF(copas!V21="","",copas!V21)</f>
        <v>MI LABRUK KIDUL</v>
      </c>
      <c r="W21" s="108">
        <f>IF(copas!W21="","",copas!W21)</f>
        <v>1</v>
      </c>
      <c r="X21" s="108" t="str">
        <f>IF(copas!X21="","",copas!X21)</f>
        <v/>
      </c>
      <c r="Y21" s="108" t="str">
        <f>IF(copas!Y21="","",copas!Y21)</f>
        <v/>
      </c>
      <c r="Z21" s="108">
        <f>IF(copas!Z21="","",copas!Z21)</f>
        <v>0.39027777777777778</v>
      </c>
      <c r="AA21" s="108" t="str">
        <f>IF(copas!AA21="","",copas!AA21)</f>
        <v/>
      </c>
      <c r="AB21" s="108" t="str">
        <f>IF(copas!AB21="","",copas!AB21)</f>
        <v/>
      </c>
      <c r="AC21" s="108" t="str">
        <f>IF(copas!AC21="","",copas!AC21)</f>
        <v/>
      </c>
      <c r="AD21" s="108">
        <f>IF(copas!AD21="","",copas!AD21)</f>
        <v>3</v>
      </c>
      <c r="AG21" s="118">
        <v>3</v>
      </c>
      <c r="AH21" s="118">
        <v>3</v>
      </c>
    </row>
    <row r="22" spans="1:34" s="46" customFormat="1" ht="20.25" customHeight="1" x14ac:dyDescent="0.2">
      <c r="A22" s="108" t="str">
        <f>IF(copas!A22="","",copas!A22)</f>
        <v>78</v>
      </c>
      <c r="B22" s="108" t="str">
        <f>IF(copas!B22="","",copas!B22)</f>
        <v>17</v>
      </c>
      <c r="C22" s="108" t="str">
        <f>IF(copas!C22="","",copas!C22)</f>
        <v>20521001187003</v>
      </c>
      <c r="D22" s="108" t="str">
        <f>IF(copas!D22="","",copas!D22)</f>
        <v>EVI NUNING</v>
      </c>
      <c r="E22" s="108" t="str">
        <f>IF(copas!E22="","",copas!E22)</f>
        <v/>
      </c>
      <c r="F22" s="113">
        <f>IF(copas!F22="","",copas!F22)</f>
        <v>43733</v>
      </c>
      <c r="G22" s="108" t="str">
        <f>IF(copas!G22="","",copas!G22)</f>
        <v>Sergu Sen-Kam</v>
      </c>
      <c r="H22" s="107">
        <f>IF(copas!H22="","",copas!H22)</f>
        <v>0.29166666666666669</v>
      </c>
      <c r="I22" s="107">
        <f>IF(copas!I22="","",copas!I22)</f>
        <v>0.54166666666666663</v>
      </c>
      <c r="J22" s="107">
        <f>IF(copas!J22="","",copas!J22)+TIME(0,AG22,0)</f>
        <v>0.26874999999999999</v>
      </c>
      <c r="K22" s="107">
        <f>IF(copas!K22="","",copas!K22)+TIME(0,AH22,0)</f>
        <v>0.57361111111111107</v>
      </c>
      <c r="L22" s="108">
        <f>IF(copas!L22="","",copas!L22)</f>
        <v>1</v>
      </c>
      <c r="M22" s="108">
        <f>IF(copas!M22="","",copas!M22)</f>
        <v>1</v>
      </c>
      <c r="N22" s="108" t="str">
        <f>IF(copas!N22="","",copas!N22)</f>
        <v/>
      </c>
      <c r="O22" s="108" t="str">
        <f>IF(copas!O22="","",copas!O22)</f>
        <v/>
      </c>
      <c r="P22" s="108" t="str">
        <f>IF(copas!P22="","",copas!P22)</f>
        <v/>
      </c>
      <c r="Q22" s="108" t="str">
        <f>IF(copas!Q22="","",copas!Q22)</f>
        <v/>
      </c>
      <c r="R22" s="108">
        <f>IF(copas!R22="","",copas!R22)</f>
        <v>0.25</v>
      </c>
      <c r="S22" s="108" t="str">
        <f>IF(copas!S22="","",copas!S22)</f>
        <v/>
      </c>
      <c r="T22" s="108" t="b">
        <f>IF(copas!T22="","",copas!T22)</f>
        <v>1</v>
      </c>
      <c r="U22" s="108" t="b">
        <f>IF(copas!U22="","",copas!U22)</f>
        <v>1</v>
      </c>
      <c r="V22" s="108" t="str">
        <f>IF(copas!V22="","",copas!V22)</f>
        <v>MI LABRUK KIDUL</v>
      </c>
      <c r="W22" s="108">
        <f>IF(copas!W22="","",copas!W22)</f>
        <v>1</v>
      </c>
      <c r="X22" s="108" t="str">
        <f>IF(copas!X22="","",copas!X22)</f>
        <v/>
      </c>
      <c r="Y22" s="108" t="str">
        <f>IF(copas!Y22="","",copas!Y22)</f>
        <v/>
      </c>
      <c r="Z22" s="108">
        <f>IF(copas!Z22="","",copas!Z22)</f>
        <v>0.30486111111111108</v>
      </c>
      <c r="AA22" s="108" t="str">
        <f>IF(copas!AA22="","",copas!AA22)</f>
        <v/>
      </c>
      <c r="AB22" s="108" t="str">
        <f>IF(copas!AB22="","",copas!AB22)</f>
        <v/>
      </c>
      <c r="AC22" s="108" t="str">
        <f>IF(copas!AC22="","",copas!AC22)</f>
        <v/>
      </c>
      <c r="AD22" s="108">
        <f>IF(copas!AD22="","",copas!AD22)</f>
        <v>4</v>
      </c>
      <c r="AG22" s="118">
        <v>2</v>
      </c>
      <c r="AH22" s="118">
        <v>2</v>
      </c>
    </row>
    <row r="23" spans="1:34" s="46" customFormat="1" ht="20.25" customHeight="1" x14ac:dyDescent="0.2">
      <c r="A23" s="108" t="str">
        <f>IF(copas!A23="","",copas!A23)</f>
        <v>78</v>
      </c>
      <c r="B23" s="108" t="str">
        <f>IF(copas!B23="","",copas!B23)</f>
        <v>17</v>
      </c>
      <c r="C23" s="108" t="str">
        <f>IF(copas!C23="","",copas!C23)</f>
        <v>20521001187003</v>
      </c>
      <c r="D23" s="108" t="str">
        <f>IF(copas!D23="","",copas!D23)</f>
        <v>EVI NUNING</v>
      </c>
      <c r="E23" s="108" t="str">
        <f>IF(copas!E23="","",copas!E23)</f>
        <v/>
      </c>
      <c r="F23" s="113">
        <f>IF(copas!F23="","",copas!F23)</f>
        <v>43734</v>
      </c>
      <c r="G23" s="108" t="str">
        <f>IF(copas!G23="","",copas!G23)</f>
        <v>Sergu Sen-Kam</v>
      </c>
      <c r="H23" s="107">
        <f>IF(copas!H23="","",copas!H23)</f>
        <v>0.29166666666666669</v>
      </c>
      <c r="I23" s="107">
        <f>IF(copas!I23="","",copas!I23)</f>
        <v>0.54166666666666663</v>
      </c>
      <c r="J23" s="107">
        <f>IF(copas!J23="","",copas!J23)+TIME(0,AG23,0)</f>
        <v>0.27361111111111108</v>
      </c>
      <c r="K23" s="107">
        <f>IF(copas!K23="","",copas!K23)+TIME(0,AH23,0)</f>
        <v>0.55555555555555558</v>
      </c>
      <c r="L23" s="108">
        <f>IF(copas!L23="","",copas!L23)</f>
        <v>1</v>
      </c>
      <c r="M23" s="108">
        <f>IF(copas!M23="","",copas!M23)</f>
        <v>1</v>
      </c>
      <c r="N23" s="108" t="str">
        <f>IF(copas!N23="","",copas!N23)</f>
        <v/>
      </c>
      <c r="O23" s="108" t="str">
        <f>IF(copas!O23="","",copas!O23)</f>
        <v/>
      </c>
      <c r="P23" s="108" t="str">
        <f>IF(copas!P23="","",copas!P23)</f>
        <v/>
      </c>
      <c r="Q23" s="108" t="str">
        <f>IF(copas!Q23="","",copas!Q23)</f>
        <v/>
      </c>
      <c r="R23" s="108">
        <f>IF(copas!R23="","",copas!R23)</f>
        <v>0.25</v>
      </c>
      <c r="S23" s="108" t="str">
        <f>IF(copas!S23="","",copas!S23)</f>
        <v/>
      </c>
      <c r="T23" s="108" t="b">
        <f>IF(copas!T23="","",copas!T23)</f>
        <v>1</v>
      </c>
      <c r="U23" s="108" t="b">
        <f>IF(copas!U23="","",copas!U23)</f>
        <v>1</v>
      </c>
      <c r="V23" s="108" t="str">
        <f>IF(copas!V23="","",copas!V23)</f>
        <v>MI LABRUK KIDUL</v>
      </c>
      <c r="W23" s="108">
        <f>IF(copas!W23="","",copas!W23)</f>
        <v>1</v>
      </c>
      <c r="X23" s="108" t="str">
        <f>IF(copas!X23="","",copas!X23)</f>
        <v/>
      </c>
      <c r="Y23" s="108" t="str">
        <f>IF(copas!Y23="","",copas!Y23)</f>
        <v/>
      </c>
      <c r="Z23" s="108">
        <f>IF(copas!Z23="","",copas!Z23)</f>
        <v>0.28194444444444444</v>
      </c>
      <c r="AA23" s="108" t="str">
        <f>IF(copas!AA23="","",copas!AA23)</f>
        <v/>
      </c>
      <c r="AB23" s="108" t="str">
        <f>IF(copas!AB23="","",copas!AB23)</f>
        <v/>
      </c>
      <c r="AC23" s="108" t="str">
        <f>IF(copas!AC23="","",copas!AC23)</f>
        <v/>
      </c>
      <c r="AD23" s="108">
        <f>IF(copas!AD23="","",copas!AD23)</f>
        <v>5</v>
      </c>
      <c r="AG23" s="118">
        <v>3</v>
      </c>
      <c r="AH23" s="118">
        <v>3</v>
      </c>
    </row>
    <row r="24" spans="1:34" s="46" customFormat="1" ht="20.25" customHeight="1" x14ac:dyDescent="0.2">
      <c r="A24" s="108" t="str">
        <f>IF(copas!A24="","",copas!A24)</f>
        <v>78</v>
      </c>
      <c r="B24" s="108" t="str">
        <f>IF(copas!B24="","",copas!B24)</f>
        <v>17</v>
      </c>
      <c r="C24" s="108" t="str">
        <f>IF(copas!C24="","",copas!C24)</f>
        <v>20521001187003</v>
      </c>
      <c r="D24" s="108" t="str">
        <f>IF(copas!D24="","",copas!D24)</f>
        <v>EVI NUNING</v>
      </c>
      <c r="E24" s="108" t="str">
        <f>IF(copas!E24="","",copas!E24)</f>
        <v/>
      </c>
      <c r="F24" s="113">
        <f>IF(copas!F24="","",copas!F24)</f>
        <v>43735</v>
      </c>
      <c r="G24" s="108" t="str">
        <f>IF(copas!G24="","",copas!G24)</f>
        <v>Sergu Jum</v>
      </c>
      <c r="H24" s="107">
        <f>IF(copas!H24="","",copas!H24)</f>
        <v>0.29166666666666669</v>
      </c>
      <c r="I24" s="107">
        <f>IF(copas!I24="","",copas!I24)</f>
        <v>0.45833333333333331</v>
      </c>
      <c r="J24" s="107">
        <f>IF(copas!J24="","",copas!J24)+TIME(0,AG24,0)</f>
        <v>0.28055555555555556</v>
      </c>
      <c r="K24" s="107">
        <f>IF(copas!K24="","",copas!K24)+TIME(0,AH24,0)</f>
        <v>0.46597222222222223</v>
      </c>
      <c r="L24" s="108">
        <f>IF(copas!L24="","",copas!L24)</f>
        <v>1</v>
      </c>
      <c r="M24" s="108">
        <f>IF(copas!M24="","",copas!M24)</f>
        <v>1</v>
      </c>
      <c r="N24" s="108" t="str">
        <f>IF(copas!N24="","",copas!N24)</f>
        <v/>
      </c>
      <c r="O24" s="108" t="str">
        <f>IF(copas!O24="","",copas!O24)</f>
        <v/>
      </c>
      <c r="P24" s="108" t="str">
        <f>IF(copas!P24="","",copas!P24)</f>
        <v/>
      </c>
      <c r="Q24" s="108" t="str">
        <f>IF(copas!Q24="","",copas!Q24)</f>
        <v/>
      </c>
      <c r="R24" s="108">
        <f>IF(copas!R24="","",copas!R24)</f>
        <v>0.16666666666666666</v>
      </c>
      <c r="S24" s="108" t="str">
        <f>IF(copas!S24="","",copas!S24)</f>
        <v/>
      </c>
      <c r="T24" s="108" t="b">
        <f>IF(copas!T24="","",copas!T24)</f>
        <v>1</v>
      </c>
      <c r="U24" s="108" t="b">
        <f>IF(copas!U24="","",copas!U24)</f>
        <v>1</v>
      </c>
      <c r="V24" s="108" t="str">
        <f>IF(copas!V24="","",copas!V24)</f>
        <v>MI LABRUK KIDUL</v>
      </c>
      <c r="W24" s="108">
        <f>IF(copas!W24="","",copas!W24)</f>
        <v>1</v>
      </c>
      <c r="X24" s="108" t="str">
        <f>IF(copas!X24="","",copas!X24)</f>
        <v/>
      </c>
      <c r="Y24" s="108" t="str">
        <f>IF(copas!Y24="","",copas!Y24)</f>
        <v/>
      </c>
      <c r="Z24" s="108">
        <f>IF(copas!Z24="","",copas!Z24)</f>
        <v>0.18541666666666667</v>
      </c>
      <c r="AA24" s="108" t="str">
        <f>IF(copas!AA24="","",copas!AA24)</f>
        <v/>
      </c>
      <c r="AB24" s="108" t="str">
        <f>IF(copas!AB24="","",copas!AB24)</f>
        <v/>
      </c>
      <c r="AC24" s="108" t="str">
        <f>IF(copas!AC24="","",copas!AC24)</f>
        <v/>
      </c>
      <c r="AD24" s="108">
        <f>IF(copas!AD24="","",copas!AD24)</f>
        <v>6</v>
      </c>
      <c r="AG24" s="118">
        <v>3</v>
      </c>
      <c r="AH24" s="118">
        <v>2</v>
      </c>
    </row>
    <row r="25" spans="1:34" s="46" customFormat="1" ht="20.25" customHeight="1" x14ac:dyDescent="0.2">
      <c r="A25" s="108" t="str">
        <f>IF(copas!A25="","",copas!A25)</f>
        <v>78</v>
      </c>
      <c r="B25" s="108" t="str">
        <f>IF(copas!B25="","",copas!B25)</f>
        <v>17</v>
      </c>
      <c r="C25" s="108" t="str">
        <f>IF(copas!C25="","",copas!C25)</f>
        <v>20521001187003</v>
      </c>
      <c r="D25" s="108" t="str">
        <f>IF(copas!D25="","",copas!D25)</f>
        <v>EVI NUNING</v>
      </c>
      <c r="E25" s="108" t="str">
        <f>IF(copas!E25="","",copas!E25)</f>
        <v/>
      </c>
      <c r="F25" s="113">
        <f>IF(copas!F25="","",copas!F25)</f>
        <v>43736</v>
      </c>
      <c r="G25" s="108" t="str">
        <f>IF(copas!G25="","",copas!G25)</f>
        <v>sergu sabtu</v>
      </c>
      <c r="H25" s="107">
        <f>IF(copas!H25="","",copas!H25)</f>
        <v>0.29166666666666669</v>
      </c>
      <c r="I25" s="107">
        <f>IF(copas!I25="","",copas!I25)</f>
        <v>0.5</v>
      </c>
      <c r="J25" s="107">
        <f>IF(copas!J25="","",copas!J25)+TIME(0,AG25,0)</f>
        <v>0.28125</v>
      </c>
      <c r="K25" s="107">
        <f>IF(copas!K25="","",copas!K25)+TIME(0,AH25,0)</f>
        <v>0.54374999999999996</v>
      </c>
      <c r="L25" s="108">
        <f>IF(copas!L25="","",copas!L25)</f>
        <v>1</v>
      </c>
      <c r="M25" s="108">
        <f>IF(copas!M25="","",copas!M25)</f>
        <v>1</v>
      </c>
      <c r="N25" s="108" t="str">
        <f>IF(copas!N25="","",copas!N25)</f>
        <v/>
      </c>
      <c r="O25" s="108" t="str">
        <f>IF(copas!O25="","",copas!O25)</f>
        <v/>
      </c>
      <c r="P25" s="108" t="str">
        <f>IF(copas!P25="","",copas!P25)</f>
        <v/>
      </c>
      <c r="Q25" s="108" t="str">
        <f>IF(copas!Q25="","",copas!Q25)</f>
        <v/>
      </c>
      <c r="R25" s="108">
        <f>IF(copas!R25="","",copas!R25)</f>
        <v>0.20833333333333334</v>
      </c>
      <c r="S25" s="108" t="str">
        <f>IF(copas!S25="","",copas!S25)</f>
        <v/>
      </c>
      <c r="T25" s="108" t="b">
        <f>IF(copas!T25="","",copas!T25)</f>
        <v>1</v>
      </c>
      <c r="U25" s="108" t="b">
        <f>IF(copas!U25="","",copas!U25)</f>
        <v>1</v>
      </c>
      <c r="V25" s="108" t="str">
        <f>IF(copas!V25="","",copas!V25)</f>
        <v>MI LABRUK KIDUL</v>
      </c>
      <c r="W25" s="108" t="str">
        <f>IF(copas!W25="","",copas!W25)</f>
        <v/>
      </c>
      <c r="X25" s="108">
        <f>IF(copas!X25="","",copas!X25)</f>
        <v>1</v>
      </c>
      <c r="Y25" s="108" t="str">
        <f>IF(copas!Y25="","",copas!Y25)</f>
        <v/>
      </c>
      <c r="Z25" s="108">
        <f>IF(copas!Z25="","",copas!Z25)</f>
        <v>0.26180555555555557</v>
      </c>
      <c r="AA25" s="108" t="str">
        <f>IF(copas!AA25="","",copas!AA25)</f>
        <v/>
      </c>
      <c r="AB25" s="108" t="str">
        <f>IF(copas!AB25="","",copas!AB25)</f>
        <v/>
      </c>
      <c r="AC25" s="108" t="str">
        <f>IF(copas!AC25="","",copas!AC25)</f>
        <v/>
      </c>
      <c r="AD25" s="108">
        <f>IF(copas!AD25="","",copas!AD25)</f>
        <v>7</v>
      </c>
      <c r="AE25" s="102"/>
      <c r="AG25" s="118">
        <v>2</v>
      </c>
      <c r="AH25" s="118">
        <v>3</v>
      </c>
    </row>
    <row r="26" spans="1:34" s="46" customFormat="1" ht="20.25" customHeight="1" x14ac:dyDescent="0.2">
      <c r="A26" s="108" t="str">
        <f>IF(copas!A26="","",copas!A26)</f>
        <v>78</v>
      </c>
      <c r="B26" s="108" t="str">
        <f>IF(copas!B26="","",copas!B26)</f>
        <v>17</v>
      </c>
      <c r="C26" s="108" t="str">
        <f>IF(copas!C26="","",copas!C26)</f>
        <v>20521001187003</v>
      </c>
      <c r="D26" s="108" t="str">
        <f>IF(copas!D26="","",copas!D26)</f>
        <v>EVI NUNING</v>
      </c>
      <c r="E26" s="108" t="str">
        <f>IF(copas!E26="","",copas!E26)</f>
        <v/>
      </c>
      <c r="F26" s="113">
        <f>IF(copas!F26="","",copas!F26)</f>
        <v>43738</v>
      </c>
      <c r="G26" s="108" t="str">
        <f>IF(copas!G26="","",copas!G26)</f>
        <v>Sergu Sen-Kam</v>
      </c>
      <c r="H26" s="107">
        <f>IF(copas!H26="","",copas!H26)</f>
        <v>0.29166666666666669</v>
      </c>
      <c r="I26" s="107">
        <f>IF(copas!I26="","",copas!I26)</f>
        <v>0.54166666666666663</v>
      </c>
      <c r="J26" s="107">
        <f>IF(copas!J26="","",copas!J26)+TIME(0,AG26,0)</f>
        <v>0.28472222222222221</v>
      </c>
      <c r="K26" s="107">
        <f>IF(copas!K26="","",copas!K26)+TIME(0,AH26,0)</f>
        <v>0.56458333333333333</v>
      </c>
      <c r="L26" s="108">
        <f>IF(copas!L26="","",copas!L26)</f>
        <v>1</v>
      </c>
      <c r="M26" s="108">
        <f>IF(copas!M26="","",copas!M26)</f>
        <v>1</v>
      </c>
      <c r="N26" s="108" t="str">
        <f>IF(copas!N26="","",copas!N26)</f>
        <v/>
      </c>
      <c r="O26" s="108" t="str">
        <f>IF(copas!O26="","",copas!O26)</f>
        <v/>
      </c>
      <c r="P26" s="108" t="str">
        <f>IF(copas!P26="","",copas!P26)</f>
        <v/>
      </c>
      <c r="Q26" s="108" t="str">
        <f>IF(copas!Q26="","",copas!Q26)</f>
        <v/>
      </c>
      <c r="R26" s="108">
        <f>IF(copas!R26="","",copas!R26)</f>
        <v>0.25</v>
      </c>
      <c r="S26" s="108" t="str">
        <f>IF(copas!S26="","",copas!S26)</f>
        <v/>
      </c>
      <c r="T26" s="108" t="b">
        <f>IF(copas!T26="","",copas!T26)</f>
        <v>1</v>
      </c>
      <c r="U26" s="108" t="b">
        <f>IF(copas!U26="","",copas!U26)</f>
        <v>1</v>
      </c>
      <c r="V26" s="108" t="str">
        <f>IF(copas!V26="","",copas!V26)</f>
        <v>MI LABRUK KIDUL</v>
      </c>
      <c r="W26" s="108">
        <f>IF(copas!W26="","",copas!W26)</f>
        <v>1</v>
      </c>
      <c r="X26" s="108" t="str">
        <f>IF(copas!X26="","",copas!X26)</f>
        <v/>
      </c>
      <c r="Y26" s="108" t="str">
        <f>IF(copas!Y26="","",copas!Y26)</f>
        <v/>
      </c>
      <c r="Z26" s="108">
        <f>IF(copas!Z26="","",copas!Z26)</f>
        <v>0.27986111111111112</v>
      </c>
      <c r="AA26" s="108" t="str">
        <f>IF(copas!AA26="","",copas!AA26)</f>
        <v/>
      </c>
      <c r="AB26" s="108" t="str">
        <f>IF(copas!AB26="","",copas!AB26)</f>
        <v/>
      </c>
      <c r="AC26" s="108" t="str">
        <f>IF(copas!AC26="","",copas!AC26)</f>
        <v/>
      </c>
      <c r="AD26" s="108">
        <f>IF(copas!AD26="","",copas!AD26)</f>
        <v>2</v>
      </c>
      <c r="AE26" s="103"/>
      <c r="AG26" s="118">
        <v>3</v>
      </c>
      <c r="AH26" s="118">
        <v>3</v>
      </c>
    </row>
    <row r="27" spans="1:34" s="46" customFormat="1" ht="20.25" customHeight="1" x14ac:dyDescent="0.2">
      <c r="A27" s="108" t="str">
        <f>IF(copas!A27="","",copas!A27)</f>
        <v/>
      </c>
      <c r="B27" s="108" t="str">
        <f>IF(copas!B27="","",copas!B27)</f>
        <v/>
      </c>
      <c r="C27" s="108" t="str">
        <f>IF(copas!C27="","",copas!C27)</f>
        <v/>
      </c>
      <c r="D27" s="108" t="str">
        <f>IF(copas!D27="","",copas!D27)</f>
        <v/>
      </c>
      <c r="E27" s="108" t="str">
        <f>IF(copas!E27="","",copas!E27)</f>
        <v/>
      </c>
      <c r="F27" s="113" t="str">
        <f>IF(copas!F27="","",copas!F27)</f>
        <v/>
      </c>
      <c r="G27" s="108" t="str">
        <f>IF(copas!G27="","",copas!G27)</f>
        <v/>
      </c>
      <c r="H27" s="108" t="str">
        <f>IF(copas!H27="","",copas!H27)</f>
        <v/>
      </c>
      <c r="I27" s="108" t="str">
        <f>IF(copas!I27="","",copas!I27)</f>
        <v/>
      </c>
      <c r="J27" s="110" t="e">
        <f>IF(copas!J27="","",copas!J27)+TIME(0,AG27,0)</f>
        <v>#VALUE!</v>
      </c>
      <c r="K27" s="107" t="e">
        <f>IF(copas!K27="","",copas!K27)+TIME(0,AH27,0)</f>
        <v>#VALUE!</v>
      </c>
      <c r="L27" s="108" t="str">
        <f>IF(copas!L27="","",copas!L27)</f>
        <v/>
      </c>
      <c r="M27" s="108" t="str">
        <f>IF(copas!M27="","",copas!M27)</f>
        <v/>
      </c>
      <c r="N27" s="108" t="str">
        <f>IF(copas!N27="","",copas!N27)</f>
        <v/>
      </c>
      <c r="O27" s="108" t="str">
        <f>IF(copas!O27="","",copas!O27)</f>
        <v/>
      </c>
      <c r="P27" s="108" t="str">
        <f>IF(copas!P27="","",copas!P27)</f>
        <v/>
      </c>
      <c r="Q27" s="108" t="str">
        <f>IF(copas!Q27="","",copas!Q27)</f>
        <v/>
      </c>
      <c r="R27" s="108" t="str">
        <f>IF(copas!R27="","",copas!R27)</f>
        <v/>
      </c>
      <c r="S27" s="108" t="str">
        <f>IF(copas!S27="","",copas!S27)</f>
        <v/>
      </c>
      <c r="T27" s="108" t="str">
        <f>IF(copas!T27="","",copas!T27)</f>
        <v/>
      </c>
      <c r="U27" s="108" t="str">
        <f>IF(copas!U27="","",copas!U27)</f>
        <v/>
      </c>
      <c r="V27" s="108" t="str">
        <f>IF(copas!V27="","",copas!V27)</f>
        <v/>
      </c>
      <c r="W27" s="108" t="str">
        <f>IF(copas!W27="","",copas!W27)</f>
        <v/>
      </c>
      <c r="X27" s="108" t="str">
        <f>IF(copas!X27="","",copas!X27)</f>
        <v/>
      </c>
      <c r="Y27" s="108" t="str">
        <f>IF(copas!Y27="","",copas!Y27)</f>
        <v/>
      </c>
      <c r="Z27" s="108" t="str">
        <f>IF(copas!Z27="","",copas!Z27)</f>
        <v/>
      </c>
      <c r="AA27" s="108" t="str">
        <f>IF(copas!AA27="","",copas!AA27)</f>
        <v/>
      </c>
      <c r="AB27" s="108" t="str">
        <f>IF(copas!AB27="","",copas!AB27)</f>
        <v/>
      </c>
      <c r="AC27" s="108" t="str">
        <f>IF(copas!AC27="","",copas!AC27)</f>
        <v/>
      </c>
      <c r="AD27" s="108" t="str">
        <f>IF(copas!AD27="","",copas!AD27)</f>
        <v/>
      </c>
      <c r="AG27" s="118">
        <v>3</v>
      </c>
      <c r="AH27" s="118">
        <v>2</v>
      </c>
    </row>
    <row r="28" spans="1:34" ht="15" x14ac:dyDescent="0.25">
      <c r="A28" s="108" t="str">
        <f>IF(copas!A28="","",copas!A28)</f>
        <v/>
      </c>
      <c r="B28" s="108" t="str">
        <f>IF(copas!B28="","",copas!B28)</f>
        <v/>
      </c>
      <c r="C28" s="108" t="str">
        <f>IF(copas!C28="","",copas!C28)</f>
        <v/>
      </c>
      <c r="D28" s="108" t="str">
        <f>IF(copas!D28="","",copas!D28)</f>
        <v/>
      </c>
      <c r="E28" s="108" t="str">
        <f>IF(copas!E28="","",copas!E28)</f>
        <v/>
      </c>
      <c r="F28" s="113" t="str">
        <f>IF(copas!F28="","",copas!F28)</f>
        <v/>
      </c>
      <c r="G28" s="108" t="str">
        <f>IF(copas!G28="","",copas!G28)</f>
        <v/>
      </c>
      <c r="H28" s="108" t="str">
        <f>IF(copas!H28="","",copas!H28)</f>
        <v/>
      </c>
      <c r="I28" s="108" t="str">
        <f>IF(copas!I28="","",copas!I28)</f>
        <v/>
      </c>
      <c r="J28" s="110" t="e">
        <f>IF(copas!J28="","",copas!J28)+TIME(0,AG28,0)</f>
        <v>#VALUE!</v>
      </c>
      <c r="K28" s="107" t="e">
        <f>IF(copas!K28="","",copas!K28)+TIME(0,AH28,0)</f>
        <v>#VALUE!</v>
      </c>
      <c r="L28" s="108" t="str">
        <f>IF(copas!L28="","",copas!L28)</f>
        <v/>
      </c>
      <c r="M28" s="108" t="str">
        <f>IF(copas!M28="","",copas!M28)</f>
        <v/>
      </c>
      <c r="N28" s="108" t="str">
        <f>IF(copas!N28="","",copas!N28)</f>
        <v/>
      </c>
      <c r="O28" s="108" t="str">
        <f>IF(copas!O28="","",copas!O28)</f>
        <v/>
      </c>
      <c r="P28" s="108" t="str">
        <f>IF(copas!P28="","",copas!P28)</f>
        <v/>
      </c>
      <c r="Q28" s="108" t="str">
        <f>IF(copas!Q28="","",copas!Q28)</f>
        <v/>
      </c>
      <c r="R28" s="108" t="str">
        <f>IF(copas!R28="","",copas!R28)</f>
        <v/>
      </c>
      <c r="S28" s="108" t="str">
        <f>IF(copas!S28="","",copas!S28)</f>
        <v/>
      </c>
      <c r="T28" s="108" t="str">
        <f>IF(copas!T28="","",copas!T28)</f>
        <v/>
      </c>
      <c r="U28" s="108" t="str">
        <f>IF(copas!U28="","",copas!U28)</f>
        <v/>
      </c>
      <c r="V28" s="108" t="str">
        <f>IF(copas!V28="","",copas!V28)</f>
        <v/>
      </c>
      <c r="W28" s="108" t="str">
        <f>IF(copas!W28="","",copas!W28)</f>
        <v/>
      </c>
      <c r="X28" s="108" t="str">
        <f>IF(copas!X28="","",copas!X28)</f>
        <v/>
      </c>
      <c r="Y28" s="108" t="str">
        <f>IF(copas!Y28="","",copas!Y28)</f>
        <v/>
      </c>
      <c r="Z28" s="108" t="str">
        <f>IF(copas!Z28="","",copas!Z28)</f>
        <v/>
      </c>
      <c r="AA28" s="108" t="str">
        <f>IF(copas!AA28="","",copas!AA28)</f>
        <v/>
      </c>
      <c r="AB28" s="108" t="str">
        <f>IF(copas!AB28="","",copas!AB28)</f>
        <v/>
      </c>
      <c r="AC28" s="108" t="str">
        <f>IF(copas!AC28="","",copas!AC28)</f>
        <v/>
      </c>
      <c r="AD28" s="108" t="str">
        <f>IF(copas!AD28="","",copas!AD28)</f>
        <v/>
      </c>
      <c r="AG28" s="118">
        <v>2</v>
      </c>
      <c r="AH28" s="46">
        <v>2</v>
      </c>
    </row>
    <row r="29" spans="1:34" ht="15" x14ac:dyDescent="0.25">
      <c r="A29" s="108" t="str">
        <f>IF(copas!A29="","",copas!A29)</f>
        <v/>
      </c>
      <c r="B29" s="108" t="str">
        <f>IF(copas!B29="","",copas!B29)</f>
        <v/>
      </c>
      <c r="C29" s="108" t="str">
        <f>IF(copas!C29="","",copas!C29)</f>
        <v/>
      </c>
      <c r="D29" s="108" t="str">
        <f>IF(copas!D29="","",copas!D29)</f>
        <v/>
      </c>
      <c r="E29" s="108" t="str">
        <f>IF(copas!E29="","",copas!E29)</f>
        <v/>
      </c>
      <c r="F29" s="113" t="str">
        <f>IF(copas!F29="","",copas!F29)</f>
        <v/>
      </c>
      <c r="G29" s="108" t="str">
        <f>IF(copas!G29="","",copas!G29)</f>
        <v/>
      </c>
      <c r="H29" s="108" t="str">
        <f>IF(copas!H29="","",copas!H29)</f>
        <v/>
      </c>
      <c r="I29" s="108" t="str">
        <f>IF(copas!I29="","",copas!I29)</f>
        <v/>
      </c>
      <c r="J29" s="110" t="e">
        <f>IF(copas!J29="","",copas!J29)+TIME(0,AG29,0)</f>
        <v>#VALUE!</v>
      </c>
      <c r="K29" s="107" t="e">
        <f>IF(copas!K29="","",copas!K29)+TIME(0,AH29,0)</f>
        <v>#VALUE!</v>
      </c>
      <c r="L29" s="108" t="str">
        <f>IF(copas!L29="","",copas!L29)</f>
        <v/>
      </c>
      <c r="M29" s="108" t="str">
        <f>IF(copas!M29="","",copas!M29)</f>
        <v/>
      </c>
      <c r="N29" s="108" t="str">
        <f>IF(copas!N29="","",copas!N29)</f>
        <v/>
      </c>
      <c r="O29" s="108" t="str">
        <f>IF(copas!O29="","",copas!O29)</f>
        <v/>
      </c>
      <c r="P29" s="108" t="str">
        <f>IF(copas!P29="","",copas!P29)</f>
        <v/>
      </c>
      <c r="Q29" s="108" t="str">
        <f>IF(copas!Q29="","",copas!Q29)</f>
        <v/>
      </c>
      <c r="R29" s="108" t="str">
        <f>IF(copas!R29="","",copas!R29)</f>
        <v/>
      </c>
      <c r="S29" s="108" t="str">
        <f>IF(copas!S29="","",copas!S29)</f>
        <v/>
      </c>
      <c r="T29" s="108" t="str">
        <f>IF(copas!T29="","",copas!T29)</f>
        <v/>
      </c>
      <c r="U29" s="108" t="str">
        <f>IF(copas!U29="","",copas!U29)</f>
        <v/>
      </c>
      <c r="V29" s="108" t="str">
        <f>IF(copas!V29="","",copas!V29)</f>
        <v/>
      </c>
      <c r="W29" s="108" t="str">
        <f>IF(copas!W29="","",copas!W29)</f>
        <v/>
      </c>
      <c r="X29" s="108" t="str">
        <f>IF(copas!X29="","",copas!X29)</f>
        <v/>
      </c>
      <c r="Y29" s="108" t="str">
        <f>IF(copas!Y29="","",copas!Y29)</f>
        <v/>
      </c>
      <c r="Z29" s="108" t="str">
        <f>IF(copas!Z29="","",copas!Z29)</f>
        <v/>
      </c>
      <c r="AA29" s="108" t="str">
        <f>IF(copas!AA29="","",copas!AA29)</f>
        <v/>
      </c>
      <c r="AB29" s="108" t="str">
        <f>IF(copas!AB29="","",copas!AB29)</f>
        <v/>
      </c>
      <c r="AC29" s="108" t="str">
        <f>IF(copas!AC29="","",copas!AC29)</f>
        <v/>
      </c>
      <c r="AD29" s="108">
        <f>IF(copas!AD29="","",copas!AD29)</f>
        <v>0</v>
      </c>
      <c r="AG29" s="46">
        <v>0</v>
      </c>
      <c r="AH29" s="46">
        <v>2</v>
      </c>
    </row>
    <row r="30" spans="1:34" ht="15" x14ac:dyDescent="0.25">
      <c r="A30" s="108" t="str">
        <f>IF(copas!A30="","",copas!A30)</f>
        <v/>
      </c>
      <c r="B30" s="108" t="str">
        <f>IF(copas!B30="","",copas!B30)</f>
        <v/>
      </c>
      <c r="C30" s="108" t="str">
        <f>IF(copas!C30="","",copas!C30)</f>
        <v/>
      </c>
      <c r="D30" s="108" t="str">
        <f>IF(copas!D30="","",copas!D30)</f>
        <v/>
      </c>
      <c r="E30" s="108" t="str">
        <f>IF(copas!E30="","",copas!E30)</f>
        <v/>
      </c>
      <c r="F30" s="113" t="str">
        <f>IF(copas!F30="","",copas!F30)</f>
        <v/>
      </c>
      <c r="G30" s="108" t="str">
        <f>IF(copas!G30="","",copas!G30)</f>
        <v/>
      </c>
      <c r="H30" s="108" t="str">
        <f>IF(copas!H30="","",copas!H30)</f>
        <v/>
      </c>
      <c r="I30" s="108" t="str">
        <f>IF(copas!I30="","",copas!I30)</f>
        <v/>
      </c>
      <c r="J30" s="110" t="e">
        <f>IF(copas!J30="","",copas!J30)+TIME(0,AG30,0)</f>
        <v>#VALUE!</v>
      </c>
      <c r="K30" s="107" t="e">
        <f>IF(copas!K30="","",copas!K30)+TIME(0,AH30,0)</f>
        <v>#VALUE!</v>
      </c>
      <c r="L30" s="108" t="str">
        <f>IF(copas!L30="","",copas!L30)</f>
        <v/>
      </c>
      <c r="M30" s="108" t="str">
        <f>IF(copas!M30="","",copas!M30)</f>
        <v/>
      </c>
      <c r="N30" s="108" t="str">
        <f>IF(copas!N30="","",copas!N30)</f>
        <v/>
      </c>
      <c r="O30" s="108" t="str">
        <f>IF(copas!O30="","",copas!O30)</f>
        <v/>
      </c>
      <c r="P30" s="108" t="str">
        <f>IF(copas!P30="","",copas!P30)</f>
        <v/>
      </c>
      <c r="Q30" s="108" t="str">
        <f>IF(copas!Q30="","",copas!Q30)</f>
        <v/>
      </c>
      <c r="R30" s="108" t="str">
        <f>IF(copas!R30="","",copas!R30)</f>
        <v/>
      </c>
      <c r="S30" s="108" t="str">
        <f>IF(copas!S30="","",copas!S30)</f>
        <v/>
      </c>
      <c r="T30" s="108" t="str">
        <f>IF(copas!T30="","",copas!T30)</f>
        <v/>
      </c>
      <c r="U30" s="108" t="str">
        <f>IF(copas!U30="","",copas!U30)</f>
        <v/>
      </c>
      <c r="V30" s="108" t="str">
        <f>IF(copas!V30="","",copas!V30)</f>
        <v/>
      </c>
      <c r="W30" s="108" t="str">
        <f>IF(copas!W30="","",copas!W30)</f>
        <v/>
      </c>
      <c r="X30" s="108" t="str">
        <f>IF(copas!X30="","",copas!X30)</f>
        <v/>
      </c>
      <c r="Y30" s="108" t="str">
        <f>IF(copas!Y30="","",copas!Y30)</f>
        <v/>
      </c>
      <c r="Z30" s="108" t="str">
        <f>IF(copas!Z30="","",copas!Z30)</f>
        <v/>
      </c>
      <c r="AA30" s="108" t="str">
        <f>IF(copas!AA30="","",copas!AA30)</f>
        <v/>
      </c>
      <c r="AB30" s="108" t="str">
        <f>IF(copas!AB30="","",copas!AB30)</f>
        <v/>
      </c>
      <c r="AC30" s="108" t="str">
        <f>IF(copas!AC30="","",copas!AC30)</f>
        <v/>
      </c>
      <c r="AD30" s="108">
        <f>IF(copas!AD30="","",copas!AD30)</f>
        <v>0</v>
      </c>
      <c r="AG30" s="46">
        <v>0</v>
      </c>
      <c r="AH30" s="46">
        <v>3</v>
      </c>
    </row>
    <row r="31" spans="1:34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44</v>
      </c>
    </row>
    <row r="35" spans="12:18" x14ac:dyDescent="0.25">
      <c r="L35" s="47">
        <f t="shared" si="0"/>
        <v>1</v>
      </c>
      <c r="R35" s="45" t="s">
        <v>44</v>
      </c>
    </row>
    <row r="36" spans="12:18" x14ac:dyDescent="0.25">
      <c r="L36" s="47">
        <f t="shared" si="0"/>
        <v>1</v>
      </c>
      <c r="R36" s="45" t="s">
        <v>44</v>
      </c>
    </row>
    <row r="37" spans="12:18" x14ac:dyDescent="0.25">
      <c r="L37" s="47">
        <f t="shared" si="0"/>
        <v>1</v>
      </c>
      <c r="R37" s="45" t="s">
        <v>44</v>
      </c>
    </row>
    <row r="38" spans="12:18" x14ac:dyDescent="0.25">
      <c r="L38" s="47">
        <f t="shared" si="0"/>
        <v>1</v>
      </c>
      <c r="R38" s="45" t="s">
        <v>44</v>
      </c>
    </row>
    <row r="39" spans="12:18" x14ac:dyDescent="0.25">
      <c r="L39" s="47">
        <f t="shared" si="0"/>
        <v>1</v>
      </c>
      <c r="R39" s="45" t="s">
        <v>44</v>
      </c>
    </row>
    <row r="40" spans="12:18" x14ac:dyDescent="0.25">
      <c r="L40" s="47">
        <f t="shared" si="0"/>
        <v>1</v>
      </c>
      <c r="R40" s="45" t="s">
        <v>44</v>
      </c>
    </row>
    <row r="41" spans="12:18" x14ac:dyDescent="0.25">
      <c r="L41" s="47">
        <f t="shared" si="0"/>
        <v>1</v>
      </c>
      <c r="R41" s="45" t="s">
        <v>44</v>
      </c>
    </row>
    <row r="42" spans="12:18" x14ac:dyDescent="0.25">
      <c r="L42" s="47">
        <f t="shared" si="0"/>
        <v>1</v>
      </c>
      <c r="R42" s="45" t="s">
        <v>44</v>
      </c>
    </row>
    <row r="43" spans="12:18" x14ac:dyDescent="0.25">
      <c r="L43" s="47">
        <f t="shared" si="0"/>
        <v>1</v>
      </c>
      <c r="R43" s="45" t="s">
        <v>44</v>
      </c>
    </row>
    <row r="44" spans="12:18" x14ac:dyDescent="0.25">
      <c r="L44" s="47">
        <f t="shared" si="0"/>
        <v>1</v>
      </c>
      <c r="R44" s="45" t="s">
        <v>44</v>
      </c>
    </row>
    <row r="45" spans="12:18" x14ac:dyDescent="0.25">
      <c r="L45" s="47">
        <f t="shared" si="0"/>
        <v>1</v>
      </c>
      <c r="R45" s="45" t="s">
        <v>44</v>
      </c>
    </row>
    <row r="46" spans="12:18" x14ac:dyDescent="0.25">
      <c r="L46" s="47">
        <f t="shared" si="0"/>
        <v>1</v>
      </c>
      <c r="R46" s="45" t="s">
        <v>44</v>
      </c>
    </row>
    <row r="47" spans="12:18" x14ac:dyDescent="0.25">
      <c r="L47" s="47">
        <f t="shared" si="0"/>
        <v>1</v>
      </c>
      <c r="R47" s="45" t="s">
        <v>44</v>
      </c>
    </row>
    <row r="48" spans="12:18" x14ac:dyDescent="0.25">
      <c r="L48" s="47">
        <f t="shared" si="0"/>
        <v>1</v>
      </c>
      <c r="R48" s="45" t="s">
        <v>44</v>
      </c>
    </row>
    <row r="49" spans="12:18" x14ac:dyDescent="0.25">
      <c r="L49" s="47">
        <f t="shared" si="0"/>
        <v>1</v>
      </c>
      <c r="R49" s="45" t="s">
        <v>44</v>
      </c>
    </row>
    <row r="50" spans="12:18" x14ac:dyDescent="0.25">
      <c r="L50" s="47">
        <f t="shared" si="0"/>
        <v>1</v>
      </c>
      <c r="R50" s="45" t="s">
        <v>44</v>
      </c>
    </row>
    <row r="51" spans="12:18" x14ac:dyDescent="0.25">
      <c r="L51" s="47">
        <f t="shared" si="0"/>
        <v>1</v>
      </c>
      <c r="R51" s="45" t="s">
        <v>44</v>
      </c>
    </row>
    <row r="52" spans="12:18" x14ac:dyDescent="0.25">
      <c r="L52" s="47">
        <f t="shared" si="0"/>
        <v>1</v>
      </c>
      <c r="R52" s="45" t="s">
        <v>44</v>
      </c>
    </row>
    <row r="53" spans="12:18" x14ac:dyDescent="0.25">
      <c r="L53" s="47">
        <f t="shared" si="0"/>
        <v>1</v>
      </c>
      <c r="R53" s="45" t="s">
        <v>44</v>
      </c>
    </row>
    <row r="54" spans="12:18" x14ac:dyDescent="0.25">
      <c r="L54" s="47">
        <f t="shared" si="0"/>
        <v>1</v>
      </c>
      <c r="R54" s="45" t="s">
        <v>44</v>
      </c>
    </row>
    <row r="55" spans="12:18" x14ac:dyDescent="0.25">
      <c r="L55" s="47">
        <f t="shared" si="0"/>
        <v>1</v>
      </c>
      <c r="R55" s="45" t="s">
        <v>44</v>
      </c>
    </row>
    <row r="56" spans="12:18" x14ac:dyDescent="0.25">
      <c r="L56" s="47">
        <f t="shared" si="0"/>
        <v>1</v>
      </c>
      <c r="R56" s="45" t="s">
        <v>44</v>
      </c>
    </row>
    <row r="57" spans="12:18" x14ac:dyDescent="0.25">
      <c r="L57" s="47">
        <f t="shared" si="0"/>
        <v>1</v>
      </c>
      <c r="R57" s="45" t="s">
        <v>44</v>
      </c>
    </row>
    <row r="58" spans="12:18" x14ac:dyDescent="0.25">
      <c r="L58" s="47" t="e">
        <f t="shared" si="0"/>
        <v>#VALUE!</v>
      </c>
      <c r="R58" s="45" t="s">
        <v>44</v>
      </c>
    </row>
    <row r="59" spans="12:18" x14ac:dyDescent="0.25">
      <c r="L59" s="47" t="e">
        <f t="shared" si="0"/>
        <v>#VALUE!</v>
      </c>
      <c r="R59" s="45" t="s">
        <v>44</v>
      </c>
    </row>
    <row r="60" spans="12:18" x14ac:dyDescent="0.25">
      <c r="L60" s="47" t="e">
        <f t="shared" si="0"/>
        <v>#VALUE!</v>
      </c>
      <c r="R60" s="45" t="s">
        <v>44</v>
      </c>
    </row>
    <row r="61" spans="12:18" x14ac:dyDescent="0.25">
      <c r="L61" s="47" t="e">
        <f t="shared" si="0"/>
        <v>#VALUE!</v>
      </c>
      <c r="R61" s="45" t="s">
        <v>44</v>
      </c>
    </row>
    <row r="62" spans="12:18" x14ac:dyDescent="0.25">
      <c r="L62" s="47">
        <f t="shared" si="0"/>
        <v>0</v>
      </c>
      <c r="R62" s="45" t="s">
        <v>44</v>
      </c>
    </row>
  </sheetData>
  <sheetProtection algorithmName="SHA-512" hashValue="6l8IL8rOZi0Yqh1Y9BW5ZWrGeOulbLi/QKpI9DT9/k/TalmHBmUusDHQLLSBd04IQOfIfGTFvJcvevIwfCROqA==" saltValue="g9nhQwVpX/udvyb/PXUsCQ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22" zoomScale="85" zoomScaleNormal="100" zoomScaleSheetLayoutView="85" workbookViewId="0">
      <selection activeCell="A33" sqref="A33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02/09/2019 - 02/10/2019</v>
      </c>
      <c r="M2" s="2">
        <f>N8</f>
        <v>43710</v>
      </c>
      <c r="N2" s="2"/>
      <c r="O2" s="2">
        <f>N41</f>
        <v>43740</v>
      </c>
    </row>
    <row r="4" spans="1:27" x14ac:dyDescent="0.25">
      <c r="A4" s="5" t="s">
        <v>6</v>
      </c>
      <c r="B4" t="str">
        <f>": "&amp;Sheet1!B2</f>
        <v>: 17</v>
      </c>
      <c r="G4" t="str">
        <f>Sheet1!V1</f>
        <v>Department</v>
      </c>
      <c r="I4" t="s">
        <v>26</v>
      </c>
    </row>
    <row r="5" spans="1:27" x14ac:dyDescent="0.25">
      <c r="A5" s="5" t="s">
        <v>8</v>
      </c>
      <c r="B5" t="str">
        <f>": "&amp;Sheet1!D2</f>
        <v>: EVI NUNING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99" t="s">
        <v>52</v>
      </c>
      <c r="M7" s="12" t="s">
        <v>34</v>
      </c>
      <c r="N7" s="13"/>
      <c r="P7" s="123" t="s">
        <v>18</v>
      </c>
      <c r="Q7" s="124"/>
      <c r="R7" s="125" t="s">
        <v>33</v>
      </c>
      <c r="S7" s="125"/>
      <c r="T7" s="124"/>
      <c r="U7" s="123" t="s">
        <v>19</v>
      </c>
      <c r="V7" s="125"/>
      <c r="W7" s="123" t="s">
        <v>33</v>
      </c>
      <c r="X7" s="125"/>
      <c r="Y7" s="124"/>
    </row>
    <row r="8" spans="1:27" s="7" customFormat="1" ht="18.75" customHeight="1" x14ac:dyDescent="0.25">
      <c r="A8" s="15">
        <f t="shared" ref="A8:A22" si="0">IF(N8="","",N8)</f>
        <v>43710</v>
      </c>
      <c r="B8" s="43" t="str">
        <f>TEXT(Sheet1!H2,"hh:mm")&amp;" - "&amp;TEXT(Sheet1!I2,"hh:mm")</f>
        <v>07:00 - 13:00</v>
      </c>
      <c r="C8" s="111">
        <f>IFERROR(IF(Sheet1!J2=0,"",Sheet1!J2),"")</f>
        <v>0.28402777777777777</v>
      </c>
      <c r="D8" s="111">
        <f>IFERROR(IF(Sheet1!K2=0,"",Sheet1!K2),"")</f>
        <v>0.57291666666666663</v>
      </c>
      <c r="E8" s="6"/>
      <c r="F8" s="6"/>
      <c r="G8" s="6"/>
      <c r="H8" s="6"/>
      <c r="I8" s="6" t="str">
        <f>TEXT(IF(Sheet1!R2=0,"",Sheet1!R2),"hh:mm")</f>
        <v>06:00</v>
      </c>
      <c r="J8" s="43">
        <f>Z8</f>
        <v>0.28888888888888886</v>
      </c>
      <c r="K8" s="39"/>
      <c r="L8" s="100">
        <f>WEEKDAY(A8,1)</f>
        <v>2</v>
      </c>
      <c r="M8" s="8">
        <f>IF(copas!F2="","",copas!F2)</f>
        <v>43710</v>
      </c>
      <c r="N8" s="14">
        <f>M8</f>
        <v>43710</v>
      </c>
      <c r="O8" s="7">
        <f>IFERROR(VALUE(Sheet1!M2),"")</f>
        <v>1</v>
      </c>
      <c r="P8" s="25" t="str">
        <f>LEFT(I8,2)</f>
        <v>06</v>
      </c>
      <c r="Q8" s="26" t="str">
        <f>RIGHT(I8,2)</f>
        <v>00</v>
      </c>
      <c r="R8" s="29">
        <f>IFERROR(VALUE(P8),"")</f>
        <v>6</v>
      </c>
      <c r="S8" s="6">
        <f>IFERROR(VALUE(Q8),"")</f>
        <v>0</v>
      </c>
      <c r="T8" s="26">
        <f>IFERROR(I8*24,"")</f>
        <v>6</v>
      </c>
      <c r="U8" s="25" t="str">
        <f>LEFT(AA8,2)</f>
        <v>06</v>
      </c>
      <c r="V8" s="33" t="str">
        <f>RIGHT(AA8,2)</f>
        <v>56</v>
      </c>
      <c r="W8" s="25">
        <f t="shared" ref="W8" si="1">IFERROR(VALUE(U8),"")</f>
        <v>6</v>
      </c>
      <c r="X8" s="6">
        <f t="shared" ref="X8" si="2">IFERROR(VALUE(V8),"")</f>
        <v>56</v>
      </c>
      <c r="Y8" s="26">
        <f t="shared" ref="Y8" si="3">IFERROR(J8*24,"")</f>
        <v>6.9333333333333327</v>
      </c>
      <c r="Z8" s="42">
        <f>IFERROR(D8-C8,"")</f>
        <v>0.28888888888888886</v>
      </c>
      <c r="AA8" s="7" t="str">
        <f>TEXT(Z8,"hh:mm")</f>
        <v>06:56</v>
      </c>
    </row>
    <row r="9" spans="1:27" s="7" customFormat="1" ht="18.75" customHeight="1" x14ac:dyDescent="0.25">
      <c r="A9" s="15">
        <f t="shared" si="0"/>
        <v>43711</v>
      </c>
      <c r="B9" s="43" t="str">
        <f>TEXT(Sheet1!H3,"hh:mm")&amp;" - "&amp;TEXT(Sheet1!I3,"hh:mm")</f>
        <v>07:00 - 13:00</v>
      </c>
      <c r="C9" s="111">
        <f>IFERROR(IF(Sheet1!J3=0,"",Sheet1!J3),"")</f>
        <v>0.28055555555555556</v>
      </c>
      <c r="D9" s="111">
        <f>IFERROR(IF(Sheet1!K3=0,"",Sheet1!K3),"")</f>
        <v>0.61111111111111116</v>
      </c>
      <c r="E9" s="6"/>
      <c r="F9" s="6"/>
      <c r="G9" s="6"/>
      <c r="H9" s="6"/>
      <c r="I9" s="6" t="str">
        <f>TEXT(IF(Sheet1!R3=0,"",Sheet1!R3),"hh:mm")</f>
        <v>06:00</v>
      </c>
      <c r="J9" s="43">
        <f t="shared" ref="J9:J34" si="4">Z9</f>
        <v>0.3305555555555556</v>
      </c>
      <c r="K9" s="39"/>
      <c r="L9" s="100">
        <f>WEEKDAY(A9,1)</f>
        <v>3</v>
      </c>
      <c r="M9" s="8">
        <f>IF(copas!F3="","",copas!F3)</f>
        <v>43711</v>
      </c>
      <c r="N9" s="14">
        <f t="shared" ref="N9:N32" si="5">M9</f>
        <v>43711</v>
      </c>
      <c r="O9" s="7">
        <f>IFERROR(VALUE(Sheet1!M3),"")</f>
        <v>1</v>
      </c>
      <c r="P9" s="25" t="str">
        <f t="shared" ref="P9:P34" si="6">LEFT(I9,2)</f>
        <v>06</v>
      </c>
      <c r="Q9" s="26" t="str">
        <f t="shared" ref="Q9:Q34" si="7">RIGHT(I9,2)</f>
        <v>00</v>
      </c>
      <c r="R9" s="29">
        <f t="shared" ref="R9:R34" si="8">IFERROR(VALUE(P9),"")</f>
        <v>6</v>
      </c>
      <c r="S9" s="6">
        <f t="shared" ref="S9:S34" si="9">IFERROR(VALUE(Q9),"")</f>
        <v>0</v>
      </c>
      <c r="T9" s="26">
        <f t="shared" ref="T9:T34" si="10">IFERROR(I9*24,"")</f>
        <v>6</v>
      </c>
      <c r="U9" s="25" t="str">
        <f t="shared" ref="U9:U33" si="11">LEFT(AA9,2)</f>
        <v>07</v>
      </c>
      <c r="V9" s="33" t="str">
        <f t="shared" ref="V9:V34" si="12">RIGHT(AA9,2)</f>
        <v>56</v>
      </c>
      <c r="W9" s="25">
        <f t="shared" ref="W9:X34" si="13">IFERROR(VALUE(U9),"")</f>
        <v>7</v>
      </c>
      <c r="X9" s="6">
        <f t="shared" si="13"/>
        <v>56</v>
      </c>
      <c r="Y9" s="26">
        <f t="shared" ref="Y9:Y34" si="14">IFERROR(J9*24,"")</f>
        <v>7.9333333333333345</v>
      </c>
      <c r="Z9" s="42">
        <f t="shared" ref="Z9:Z34" si="15">IFERROR(D9-C9,"")</f>
        <v>0.3305555555555556</v>
      </c>
      <c r="AA9" s="7" t="str">
        <f t="shared" ref="AA9:AA34" si="16">TEXT(Z9,"hh:mm")</f>
        <v>07:56</v>
      </c>
    </row>
    <row r="10" spans="1:27" s="7" customFormat="1" ht="18.75" customHeight="1" x14ac:dyDescent="0.25">
      <c r="A10" s="15">
        <f t="shared" si="0"/>
        <v>43712</v>
      </c>
      <c r="B10" s="43" t="str">
        <f>TEXT(Sheet1!H4,"hh:mm")&amp;" - "&amp;TEXT(Sheet1!I4,"hh:mm")</f>
        <v>07:00 - 13:00</v>
      </c>
      <c r="C10" s="111">
        <f>IFERROR(IF(Sheet1!J4=0,"",Sheet1!J4),"")</f>
        <v>0.26319444444444445</v>
      </c>
      <c r="D10" s="111">
        <f>IFERROR(IF(Sheet1!K4=0,"",Sheet1!K4),"")</f>
        <v>0.56319444444444444</v>
      </c>
      <c r="E10" s="6"/>
      <c r="F10" s="6"/>
      <c r="G10" s="6"/>
      <c r="H10" s="6"/>
      <c r="I10" s="6" t="str">
        <f>TEXT(IF(Sheet1!R4=0,"",Sheet1!R4),"hh:mm")</f>
        <v>06:00</v>
      </c>
      <c r="J10" s="43">
        <f t="shared" si="4"/>
        <v>0.3</v>
      </c>
      <c r="K10" s="39"/>
      <c r="L10" s="100">
        <f t="shared" ref="L10:L34" si="17">WEEKDAY(A10,1)</f>
        <v>4</v>
      </c>
      <c r="M10" s="8">
        <f>IF(copas!F4="","",copas!F4)</f>
        <v>43712</v>
      </c>
      <c r="N10" s="14">
        <f t="shared" si="5"/>
        <v>43712</v>
      </c>
      <c r="O10" s="7">
        <f>IFERROR(VALUE(Sheet1!M4),"")</f>
        <v>1</v>
      </c>
      <c r="P10" s="25" t="str">
        <f t="shared" si="6"/>
        <v>06</v>
      </c>
      <c r="Q10" s="26" t="str">
        <f t="shared" si="7"/>
        <v>00</v>
      </c>
      <c r="R10" s="29">
        <f t="shared" si="8"/>
        <v>6</v>
      </c>
      <c r="S10" s="6">
        <f t="shared" si="9"/>
        <v>0</v>
      </c>
      <c r="T10" s="26">
        <f t="shared" si="10"/>
        <v>6</v>
      </c>
      <c r="U10" s="25" t="str">
        <f t="shared" si="11"/>
        <v>07</v>
      </c>
      <c r="V10" s="33" t="str">
        <f t="shared" si="12"/>
        <v>12</v>
      </c>
      <c r="W10" s="25">
        <f t="shared" si="13"/>
        <v>7</v>
      </c>
      <c r="X10" s="6">
        <f t="shared" si="13"/>
        <v>12</v>
      </c>
      <c r="Y10" s="26">
        <f t="shared" si="14"/>
        <v>7.1999999999999993</v>
      </c>
      <c r="Z10" s="42">
        <f t="shared" si="15"/>
        <v>0.3</v>
      </c>
      <c r="AA10" s="7" t="str">
        <f t="shared" si="16"/>
        <v>07:12</v>
      </c>
    </row>
    <row r="11" spans="1:27" s="7" customFormat="1" ht="18.75" customHeight="1" x14ac:dyDescent="0.25">
      <c r="A11" s="15">
        <f t="shared" si="0"/>
        <v>43713</v>
      </c>
      <c r="B11" s="43" t="str">
        <f>TEXT(Sheet1!H5,"hh:mm")&amp;" - "&amp;TEXT(Sheet1!I5,"hh:mm")</f>
        <v>07:00 - 13:00</v>
      </c>
      <c r="C11" s="111">
        <f>IFERROR(IF(Sheet1!J5=0,"",Sheet1!J5),"")</f>
        <v>0.27986111111111112</v>
      </c>
      <c r="D11" s="111">
        <f>IFERROR(IF(Sheet1!K5=0,"",Sheet1!K5),"")</f>
        <v>0.57430555555555551</v>
      </c>
      <c r="E11" s="6"/>
      <c r="F11" s="6"/>
      <c r="G11" s="6"/>
      <c r="H11" s="6"/>
      <c r="I11" s="6" t="str">
        <f>TEXT(IF(Sheet1!R5=0,"",Sheet1!R5),"hh:mm")</f>
        <v>06:00</v>
      </c>
      <c r="J11" s="43">
        <f t="shared" si="4"/>
        <v>0.2944444444444444</v>
      </c>
      <c r="K11" s="39"/>
      <c r="L11" s="100">
        <f t="shared" si="17"/>
        <v>5</v>
      </c>
      <c r="M11" s="8">
        <f>IF(copas!F5="","",copas!F5)</f>
        <v>43713</v>
      </c>
      <c r="N11" s="14">
        <f t="shared" si="5"/>
        <v>43713</v>
      </c>
      <c r="O11" s="7">
        <f>IFERROR(VALUE(Sheet1!M5),"")</f>
        <v>1</v>
      </c>
      <c r="P11" s="25" t="str">
        <f t="shared" si="6"/>
        <v>06</v>
      </c>
      <c r="Q11" s="26" t="str">
        <f t="shared" si="7"/>
        <v>00</v>
      </c>
      <c r="R11" s="29">
        <f t="shared" si="8"/>
        <v>6</v>
      </c>
      <c r="S11" s="6">
        <f t="shared" si="9"/>
        <v>0</v>
      </c>
      <c r="T11" s="26">
        <f t="shared" si="10"/>
        <v>6</v>
      </c>
      <c r="U11" s="25" t="str">
        <f t="shared" si="11"/>
        <v>07</v>
      </c>
      <c r="V11" s="33" t="str">
        <f t="shared" si="12"/>
        <v>04</v>
      </c>
      <c r="W11" s="25">
        <f t="shared" si="13"/>
        <v>7</v>
      </c>
      <c r="X11" s="6">
        <f t="shared" si="13"/>
        <v>4</v>
      </c>
      <c r="Y11" s="26">
        <f t="shared" si="14"/>
        <v>7.0666666666666655</v>
      </c>
      <c r="Z11" s="42">
        <f t="shared" si="15"/>
        <v>0.2944444444444444</v>
      </c>
      <c r="AA11" s="7" t="str">
        <f t="shared" si="16"/>
        <v>07:04</v>
      </c>
    </row>
    <row r="12" spans="1:27" s="7" customFormat="1" ht="18.75" customHeight="1" x14ac:dyDescent="0.25">
      <c r="A12" s="15">
        <f t="shared" si="0"/>
        <v>43714</v>
      </c>
      <c r="B12" s="43" t="str">
        <f>TEXT(Sheet1!H6,"hh:mm")&amp;" - "&amp;TEXT(Sheet1!I6,"hh:mm")</f>
        <v>07:00 - 11:00</v>
      </c>
      <c r="C12" s="111">
        <f>IFERROR(IF(Sheet1!J6=0,"",Sheet1!J6),"")</f>
        <v>0.28055555555555556</v>
      </c>
      <c r="D12" s="111">
        <f>IFERROR(IF(Sheet1!K6=0,"",Sheet1!K6),"")</f>
        <v>0.46944444444444444</v>
      </c>
      <c r="E12" s="6"/>
      <c r="F12" s="6"/>
      <c r="G12" s="6"/>
      <c r="H12" s="6"/>
      <c r="I12" s="6" t="str">
        <f>TEXT(IF(Sheet1!R6=0,"",Sheet1!R6),"hh:mm")</f>
        <v>04:00</v>
      </c>
      <c r="J12" s="43">
        <f t="shared" si="4"/>
        <v>0.18888888888888888</v>
      </c>
      <c r="K12" s="39"/>
      <c r="L12" s="100">
        <f t="shared" si="17"/>
        <v>6</v>
      </c>
      <c r="M12" s="8">
        <f>IF(copas!F6="","",copas!F6)</f>
        <v>43714</v>
      </c>
      <c r="N12" s="14">
        <f t="shared" si="5"/>
        <v>43714</v>
      </c>
      <c r="O12" s="7">
        <f>IFERROR(VALUE(Sheet1!M6),"")</f>
        <v>1</v>
      </c>
      <c r="P12" s="25" t="str">
        <f t="shared" si="6"/>
        <v>04</v>
      </c>
      <c r="Q12" s="26" t="str">
        <f t="shared" si="7"/>
        <v>00</v>
      </c>
      <c r="R12" s="29">
        <f t="shared" si="8"/>
        <v>4</v>
      </c>
      <c r="S12" s="6">
        <f t="shared" si="9"/>
        <v>0</v>
      </c>
      <c r="T12" s="26">
        <f t="shared" si="10"/>
        <v>4</v>
      </c>
      <c r="U12" s="25" t="str">
        <f t="shared" si="11"/>
        <v>04</v>
      </c>
      <c r="V12" s="33" t="str">
        <f t="shared" si="12"/>
        <v>32</v>
      </c>
      <c r="W12" s="25">
        <f t="shared" si="13"/>
        <v>4</v>
      </c>
      <c r="X12" s="6">
        <f t="shared" si="13"/>
        <v>32</v>
      </c>
      <c r="Y12" s="26">
        <f t="shared" si="14"/>
        <v>4.5333333333333332</v>
      </c>
      <c r="Z12" s="42">
        <f t="shared" si="15"/>
        <v>0.18888888888888888</v>
      </c>
      <c r="AA12" s="7" t="str">
        <f t="shared" si="16"/>
        <v>04:32</v>
      </c>
    </row>
    <row r="13" spans="1:27" s="7" customFormat="1" ht="18.75" customHeight="1" x14ac:dyDescent="0.25">
      <c r="A13" s="15">
        <f t="shared" si="0"/>
        <v>43715</v>
      </c>
      <c r="B13" s="43" t="str">
        <f>TEXT(Sheet1!H7,"hh:mm")&amp;" - "&amp;TEXT(Sheet1!I7,"hh:mm")</f>
        <v>07:00 - 12:00</v>
      </c>
      <c r="C13" s="111">
        <f>IFERROR(IF(Sheet1!J7=0,"",Sheet1!J7),"")</f>
        <v>0.28333333333333333</v>
      </c>
      <c r="D13" s="111">
        <f>IFERROR(IF(Sheet1!K7=0,"",Sheet1!K7),"")</f>
        <v>0.52013888888888893</v>
      </c>
      <c r="E13" s="6"/>
      <c r="F13" s="6"/>
      <c r="G13" s="6"/>
      <c r="H13" s="6"/>
      <c r="I13" s="6" t="str">
        <f>TEXT(IF(Sheet1!R7=0,"",Sheet1!R7),"hh:mm")</f>
        <v>05:00</v>
      </c>
      <c r="J13" s="43">
        <f t="shared" si="4"/>
        <v>0.2368055555555556</v>
      </c>
      <c r="K13" s="39"/>
      <c r="L13" s="100">
        <f t="shared" si="17"/>
        <v>7</v>
      </c>
      <c r="M13" s="8">
        <f>IF(copas!F7="","",copas!F7)</f>
        <v>43715</v>
      </c>
      <c r="N13" s="14">
        <f t="shared" si="5"/>
        <v>43715</v>
      </c>
      <c r="O13" s="7">
        <f>IFERROR(VALUE(Sheet1!M7),"")</f>
        <v>1</v>
      </c>
      <c r="P13" s="25" t="str">
        <f t="shared" si="6"/>
        <v>05</v>
      </c>
      <c r="Q13" s="26" t="str">
        <f t="shared" si="7"/>
        <v>00</v>
      </c>
      <c r="R13" s="29">
        <f t="shared" si="8"/>
        <v>5</v>
      </c>
      <c r="S13" s="6">
        <f t="shared" si="9"/>
        <v>0</v>
      </c>
      <c r="T13" s="26">
        <f t="shared" si="10"/>
        <v>5</v>
      </c>
      <c r="U13" s="25" t="str">
        <f t="shared" si="11"/>
        <v>05</v>
      </c>
      <c r="V13" s="33" t="str">
        <f t="shared" si="12"/>
        <v>41</v>
      </c>
      <c r="W13" s="25">
        <f t="shared" si="13"/>
        <v>5</v>
      </c>
      <c r="X13" s="6">
        <f t="shared" si="13"/>
        <v>41</v>
      </c>
      <c r="Y13" s="26">
        <f t="shared" si="14"/>
        <v>5.6833333333333345</v>
      </c>
      <c r="Z13" s="42">
        <f t="shared" si="15"/>
        <v>0.2368055555555556</v>
      </c>
      <c r="AA13" s="7" t="str">
        <f t="shared" si="16"/>
        <v>05:41</v>
      </c>
    </row>
    <row r="14" spans="1:27" s="7" customFormat="1" ht="18.75" customHeight="1" x14ac:dyDescent="0.25">
      <c r="A14" s="15">
        <f t="shared" si="0"/>
        <v>43717</v>
      </c>
      <c r="B14" s="43" t="str">
        <f>TEXT(Sheet1!H8,"hh:mm")&amp;" - "&amp;TEXT(Sheet1!I8,"hh:mm")</f>
        <v>07:00 - 13:00</v>
      </c>
      <c r="C14" s="111">
        <f>IFERROR(IF(Sheet1!J8=0,"",Sheet1!J8),"")</f>
        <v>0.27361111111111108</v>
      </c>
      <c r="D14" s="111">
        <f>IFERROR(IF(Sheet1!K8=0,"",Sheet1!K8),"")</f>
        <v>0.56944444444444442</v>
      </c>
      <c r="E14" s="6"/>
      <c r="F14" s="6"/>
      <c r="G14" s="6"/>
      <c r="H14" s="6"/>
      <c r="I14" s="6" t="str">
        <f>TEXT(IF(Sheet1!R8=0,"",Sheet1!R8),"hh:mm")</f>
        <v>06:00</v>
      </c>
      <c r="J14" s="43">
        <f t="shared" si="4"/>
        <v>0.29583333333333334</v>
      </c>
      <c r="K14" s="39"/>
      <c r="L14" s="100">
        <f t="shared" si="17"/>
        <v>2</v>
      </c>
      <c r="M14" s="8">
        <f>IF(copas!F8="","",copas!F8)</f>
        <v>43717</v>
      </c>
      <c r="N14" s="14">
        <f t="shared" si="5"/>
        <v>43717</v>
      </c>
      <c r="O14" s="7">
        <f>IFERROR(VALUE(Sheet1!M8),"")</f>
        <v>1</v>
      </c>
      <c r="P14" s="25" t="str">
        <f t="shared" si="6"/>
        <v>06</v>
      </c>
      <c r="Q14" s="26" t="str">
        <f t="shared" si="7"/>
        <v>00</v>
      </c>
      <c r="R14" s="29">
        <f t="shared" si="8"/>
        <v>6</v>
      </c>
      <c r="S14" s="6">
        <f t="shared" si="9"/>
        <v>0</v>
      </c>
      <c r="T14" s="26">
        <f t="shared" si="10"/>
        <v>6</v>
      </c>
      <c r="U14" s="25" t="str">
        <f t="shared" si="11"/>
        <v>07</v>
      </c>
      <c r="V14" s="33" t="str">
        <f t="shared" si="12"/>
        <v>06</v>
      </c>
      <c r="W14" s="25">
        <f t="shared" si="13"/>
        <v>7</v>
      </c>
      <c r="X14" s="6">
        <f t="shared" si="13"/>
        <v>6</v>
      </c>
      <c r="Y14" s="26">
        <f t="shared" si="14"/>
        <v>7.1</v>
      </c>
      <c r="Z14" s="42">
        <f t="shared" si="15"/>
        <v>0.29583333333333334</v>
      </c>
      <c r="AA14" s="7" t="str">
        <f t="shared" si="16"/>
        <v>07:06</v>
      </c>
    </row>
    <row r="15" spans="1:27" s="7" customFormat="1" ht="18.75" customHeight="1" x14ac:dyDescent="0.25">
      <c r="A15" s="15">
        <f t="shared" si="0"/>
        <v>43718</v>
      </c>
      <c r="B15" s="43" t="str">
        <f>TEXT(Sheet1!H9,"hh:mm")&amp;" - "&amp;TEXT(Sheet1!I9,"hh:mm")</f>
        <v>07:00 - 13:00</v>
      </c>
      <c r="C15" s="111">
        <f>IFERROR(IF(Sheet1!J9=0,"",Sheet1!J9),"")</f>
        <v>0.28055555555555556</v>
      </c>
      <c r="D15" s="111">
        <f>IFERROR(IF(Sheet1!K9=0,"",Sheet1!K9),"")</f>
        <v>0.58124999999999993</v>
      </c>
      <c r="E15" s="6"/>
      <c r="F15" s="6"/>
      <c r="G15" s="6"/>
      <c r="H15" s="6"/>
      <c r="I15" s="6" t="str">
        <f>TEXT(IF(Sheet1!R9=0,"",Sheet1!R9),"hh:mm")</f>
        <v>06:00</v>
      </c>
      <c r="J15" s="43">
        <f t="shared" si="4"/>
        <v>0.30069444444444438</v>
      </c>
      <c r="K15" s="39"/>
      <c r="L15" s="100">
        <f t="shared" si="17"/>
        <v>3</v>
      </c>
      <c r="M15" s="8">
        <f>IF(copas!F9="","",copas!F9)</f>
        <v>43718</v>
      </c>
      <c r="N15" s="14">
        <f t="shared" si="5"/>
        <v>43718</v>
      </c>
      <c r="O15" s="7">
        <f>IFERROR(VALUE(Sheet1!M9),"")</f>
        <v>1</v>
      </c>
      <c r="P15" s="25" t="str">
        <f t="shared" si="6"/>
        <v>06</v>
      </c>
      <c r="Q15" s="26" t="str">
        <f t="shared" si="7"/>
        <v>00</v>
      </c>
      <c r="R15" s="29">
        <f t="shared" si="8"/>
        <v>6</v>
      </c>
      <c r="S15" s="6">
        <f t="shared" si="9"/>
        <v>0</v>
      </c>
      <c r="T15" s="26">
        <f t="shared" si="10"/>
        <v>6</v>
      </c>
      <c r="U15" s="25" t="str">
        <f t="shared" si="11"/>
        <v>07</v>
      </c>
      <c r="V15" s="33" t="str">
        <f t="shared" si="12"/>
        <v>13</v>
      </c>
      <c r="W15" s="25">
        <f t="shared" si="13"/>
        <v>7</v>
      </c>
      <c r="X15" s="6">
        <f t="shared" si="13"/>
        <v>13</v>
      </c>
      <c r="Y15" s="26">
        <f t="shared" si="14"/>
        <v>7.216666666666665</v>
      </c>
      <c r="Z15" s="42">
        <f t="shared" si="15"/>
        <v>0.30069444444444438</v>
      </c>
      <c r="AA15" s="7" t="str">
        <f t="shared" si="16"/>
        <v>07:13</v>
      </c>
    </row>
    <row r="16" spans="1:27" s="7" customFormat="1" ht="18.75" customHeight="1" x14ac:dyDescent="0.25">
      <c r="A16" s="15">
        <f t="shared" si="0"/>
        <v>43719</v>
      </c>
      <c r="B16" s="43" t="str">
        <f>TEXT(Sheet1!H10,"hh:mm")&amp;" - "&amp;TEXT(Sheet1!I10,"hh:mm")</f>
        <v>07:00 - 13:00</v>
      </c>
      <c r="C16" s="111">
        <f>IFERROR(IF(Sheet1!J10=0,"",Sheet1!J10),"")</f>
        <v>0.27499999999999997</v>
      </c>
      <c r="D16" s="111">
        <f>IFERROR(IF(Sheet1!K10=0,"",Sheet1!K10),"")</f>
        <v>0.59444444444444444</v>
      </c>
      <c r="E16" s="6"/>
      <c r="F16" s="6"/>
      <c r="G16" s="6"/>
      <c r="H16" s="6"/>
      <c r="I16" s="6" t="str">
        <f>TEXT(IF(Sheet1!R10=0,"",Sheet1!R10),"hh:mm")</f>
        <v>06:00</v>
      </c>
      <c r="J16" s="43">
        <f t="shared" si="4"/>
        <v>0.31944444444444448</v>
      </c>
      <c r="K16" s="39"/>
      <c r="L16" s="100">
        <f t="shared" si="17"/>
        <v>4</v>
      </c>
      <c r="M16" s="8">
        <f>IF(copas!F10="","",copas!F10)</f>
        <v>43719</v>
      </c>
      <c r="N16" s="14">
        <f t="shared" si="5"/>
        <v>43719</v>
      </c>
      <c r="O16" s="7">
        <f>IFERROR(VALUE(Sheet1!M10),"")</f>
        <v>1</v>
      </c>
      <c r="P16" s="25" t="str">
        <f t="shared" si="6"/>
        <v>06</v>
      </c>
      <c r="Q16" s="26" t="str">
        <f t="shared" si="7"/>
        <v>00</v>
      </c>
      <c r="R16" s="29">
        <f t="shared" si="8"/>
        <v>6</v>
      </c>
      <c r="S16" s="6">
        <f t="shared" si="9"/>
        <v>0</v>
      </c>
      <c r="T16" s="26">
        <f t="shared" si="10"/>
        <v>6</v>
      </c>
      <c r="U16" s="25" t="str">
        <f t="shared" si="11"/>
        <v>07</v>
      </c>
      <c r="V16" s="33" t="str">
        <f t="shared" si="12"/>
        <v>40</v>
      </c>
      <c r="W16" s="25">
        <f t="shared" si="13"/>
        <v>7</v>
      </c>
      <c r="X16" s="6">
        <f t="shared" si="13"/>
        <v>40</v>
      </c>
      <c r="Y16" s="26">
        <f t="shared" si="14"/>
        <v>7.6666666666666679</v>
      </c>
      <c r="Z16" s="42">
        <f t="shared" si="15"/>
        <v>0.31944444444444448</v>
      </c>
      <c r="AA16" s="7" t="str">
        <f t="shared" si="16"/>
        <v>07:40</v>
      </c>
    </row>
    <row r="17" spans="1:27" s="7" customFormat="1" ht="18.75" customHeight="1" x14ac:dyDescent="0.25">
      <c r="A17" s="15">
        <f t="shared" si="0"/>
        <v>43720</v>
      </c>
      <c r="B17" s="43" t="str">
        <f>TEXT(Sheet1!H11,"hh:mm")&amp;" - "&amp;TEXT(Sheet1!I11,"hh:mm")</f>
        <v>07:00 - 13:00</v>
      </c>
      <c r="C17" s="111">
        <f>IFERROR(IF(Sheet1!J11=0,"",Sheet1!J11),"")</f>
        <v>0.28402777777777777</v>
      </c>
      <c r="D17" s="111">
        <f>IFERROR(IF(Sheet1!K11=0,"",Sheet1!K11),"")</f>
        <v>0.56180555555555556</v>
      </c>
      <c r="E17" s="6"/>
      <c r="F17" s="6"/>
      <c r="G17" s="6"/>
      <c r="H17" s="6"/>
      <c r="I17" s="6" t="str">
        <f>TEXT(IF(Sheet1!R11=0,"",Sheet1!R11),"hh:mm")</f>
        <v>06:00</v>
      </c>
      <c r="J17" s="43">
        <f t="shared" si="4"/>
        <v>0.27777777777777779</v>
      </c>
      <c r="K17" s="39"/>
      <c r="L17" s="100">
        <f t="shared" si="17"/>
        <v>5</v>
      </c>
      <c r="M17" s="8">
        <f>IF(copas!F11="","",copas!F11)</f>
        <v>43720</v>
      </c>
      <c r="N17" s="14">
        <f t="shared" si="5"/>
        <v>43720</v>
      </c>
      <c r="O17" s="7">
        <f>IFERROR(VALUE(Sheet1!M11),"")</f>
        <v>1</v>
      </c>
      <c r="P17" s="25" t="str">
        <f t="shared" si="6"/>
        <v>06</v>
      </c>
      <c r="Q17" s="26" t="str">
        <f t="shared" si="7"/>
        <v>00</v>
      </c>
      <c r="R17" s="29">
        <f t="shared" si="8"/>
        <v>6</v>
      </c>
      <c r="S17" s="6">
        <f t="shared" si="9"/>
        <v>0</v>
      </c>
      <c r="T17" s="26">
        <f t="shared" si="10"/>
        <v>6</v>
      </c>
      <c r="U17" s="25" t="str">
        <f t="shared" si="11"/>
        <v>06</v>
      </c>
      <c r="V17" s="33" t="str">
        <f t="shared" si="12"/>
        <v>40</v>
      </c>
      <c r="W17" s="25">
        <f t="shared" si="13"/>
        <v>6</v>
      </c>
      <c r="X17" s="6">
        <f t="shared" si="13"/>
        <v>40</v>
      </c>
      <c r="Y17" s="26">
        <f t="shared" si="14"/>
        <v>6.666666666666667</v>
      </c>
      <c r="Z17" s="42">
        <f t="shared" si="15"/>
        <v>0.27777777777777779</v>
      </c>
      <c r="AA17" s="7" t="str">
        <f t="shared" si="16"/>
        <v>06:40</v>
      </c>
    </row>
    <row r="18" spans="1:27" s="7" customFormat="1" ht="18.75" customHeight="1" x14ac:dyDescent="0.25">
      <c r="A18" s="15">
        <f t="shared" si="0"/>
        <v>43721</v>
      </c>
      <c r="B18" s="43" t="str">
        <f>TEXT(Sheet1!H12,"hh:mm")&amp;" - "&amp;TEXT(Sheet1!I12,"hh:mm")</f>
        <v>07:00 - 11:00</v>
      </c>
      <c r="C18" s="111">
        <f>IFERROR(IF(Sheet1!J12=0,"",Sheet1!J12),"")</f>
        <v>0.28125</v>
      </c>
      <c r="D18" s="111">
        <f>IFERROR(IF(Sheet1!K12=0,"",Sheet1!K12),"")</f>
        <v>0.46111111111111108</v>
      </c>
      <c r="E18" s="6"/>
      <c r="F18" s="6"/>
      <c r="G18" s="6"/>
      <c r="H18" s="6"/>
      <c r="I18" s="6" t="str">
        <f>TEXT(IF(Sheet1!R12=0,"",Sheet1!R12),"hh:mm")</f>
        <v>04:00</v>
      </c>
      <c r="J18" s="43">
        <f t="shared" si="4"/>
        <v>0.17986111111111108</v>
      </c>
      <c r="K18" s="39"/>
      <c r="L18" s="100">
        <f t="shared" si="17"/>
        <v>6</v>
      </c>
      <c r="M18" s="8">
        <f>IF(copas!F12="","",copas!F12)</f>
        <v>43721</v>
      </c>
      <c r="N18" s="14">
        <f t="shared" si="5"/>
        <v>43721</v>
      </c>
      <c r="O18" s="7">
        <f>IFERROR(VALUE(Sheet1!M12),"")</f>
        <v>1</v>
      </c>
      <c r="P18" s="25" t="str">
        <f t="shared" si="6"/>
        <v>04</v>
      </c>
      <c r="Q18" s="26" t="str">
        <f t="shared" si="7"/>
        <v>00</v>
      </c>
      <c r="R18" s="29">
        <f t="shared" si="8"/>
        <v>4</v>
      </c>
      <c r="S18" s="6">
        <f t="shared" si="9"/>
        <v>0</v>
      </c>
      <c r="T18" s="26">
        <f t="shared" si="10"/>
        <v>4</v>
      </c>
      <c r="U18" s="25" t="str">
        <f t="shared" si="11"/>
        <v>04</v>
      </c>
      <c r="V18" s="33" t="str">
        <f t="shared" si="12"/>
        <v>19</v>
      </c>
      <c r="W18" s="25">
        <f t="shared" si="13"/>
        <v>4</v>
      </c>
      <c r="X18" s="6">
        <f t="shared" si="13"/>
        <v>19</v>
      </c>
      <c r="Y18" s="26">
        <f t="shared" si="14"/>
        <v>4.3166666666666664</v>
      </c>
      <c r="Z18" s="42">
        <f t="shared" si="15"/>
        <v>0.17986111111111108</v>
      </c>
      <c r="AA18" s="7" t="str">
        <f t="shared" si="16"/>
        <v>04:19</v>
      </c>
    </row>
    <row r="19" spans="1:27" s="7" customFormat="1" ht="18.75" customHeight="1" x14ac:dyDescent="0.25">
      <c r="A19" s="15">
        <f t="shared" si="0"/>
        <v>43722</v>
      </c>
      <c r="B19" s="43" t="str">
        <f>TEXT(Sheet1!H13,"hh:mm")&amp;" - "&amp;TEXT(Sheet1!I13,"hh:mm")</f>
        <v>07:00 - 12:00</v>
      </c>
      <c r="C19" s="111">
        <f>IFERROR(IF(Sheet1!J13=0,"",Sheet1!J13),"")</f>
        <v>0.28611111111111109</v>
      </c>
      <c r="D19" s="111">
        <f>IFERROR(IF(Sheet1!K13=0,"",Sheet1!K13),"")</f>
        <v>0.54722222222222228</v>
      </c>
      <c r="E19" s="6"/>
      <c r="F19" s="6"/>
      <c r="G19" s="6"/>
      <c r="H19" s="6"/>
      <c r="I19" s="6" t="str">
        <f>TEXT(IF(Sheet1!R13=0,"",Sheet1!R13),"hh:mm")</f>
        <v>05:00</v>
      </c>
      <c r="J19" s="43">
        <f t="shared" si="4"/>
        <v>0.26111111111111118</v>
      </c>
      <c r="K19" s="39"/>
      <c r="L19" s="100">
        <f t="shared" si="17"/>
        <v>7</v>
      </c>
      <c r="M19" s="8">
        <f>IF(copas!F13="","",copas!F13)</f>
        <v>43722</v>
      </c>
      <c r="N19" s="14">
        <f t="shared" si="5"/>
        <v>43722</v>
      </c>
      <c r="O19" s="7">
        <f>IFERROR(VALUE(Sheet1!M13),"")</f>
        <v>1</v>
      </c>
      <c r="P19" s="25" t="str">
        <f t="shared" si="6"/>
        <v>05</v>
      </c>
      <c r="Q19" s="26" t="str">
        <f t="shared" si="7"/>
        <v>00</v>
      </c>
      <c r="R19" s="29">
        <f t="shared" si="8"/>
        <v>5</v>
      </c>
      <c r="S19" s="6">
        <f t="shared" si="9"/>
        <v>0</v>
      </c>
      <c r="T19" s="26">
        <f t="shared" si="10"/>
        <v>5</v>
      </c>
      <c r="U19" s="25" t="str">
        <f t="shared" si="11"/>
        <v>06</v>
      </c>
      <c r="V19" s="33" t="str">
        <f t="shared" si="12"/>
        <v>16</v>
      </c>
      <c r="W19" s="25">
        <f t="shared" si="13"/>
        <v>6</v>
      </c>
      <c r="X19" s="6">
        <f t="shared" si="13"/>
        <v>16</v>
      </c>
      <c r="Y19" s="26">
        <f t="shared" si="14"/>
        <v>6.2666666666666684</v>
      </c>
      <c r="Z19" s="42">
        <f t="shared" si="15"/>
        <v>0.26111111111111118</v>
      </c>
      <c r="AA19" s="7" t="str">
        <f t="shared" si="16"/>
        <v>06:16</v>
      </c>
    </row>
    <row r="20" spans="1:27" s="7" customFormat="1" ht="18.75" customHeight="1" x14ac:dyDescent="0.25">
      <c r="A20" s="15">
        <f t="shared" si="0"/>
        <v>43724</v>
      </c>
      <c r="B20" s="43" t="str">
        <f>TEXT(Sheet1!H14,"hh:mm")&amp;" - "&amp;TEXT(Sheet1!I14,"hh:mm")</f>
        <v>07:00 - 13:00</v>
      </c>
      <c r="C20" s="111">
        <f>IFERROR(IF(Sheet1!J14=0,"",Sheet1!J14),"")</f>
        <v>0.28055555555555556</v>
      </c>
      <c r="D20" s="111">
        <f>IFERROR(IF(Sheet1!K14=0,"",Sheet1!K14),"")</f>
        <v>0.56180555555555556</v>
      </c>
      <c r="E20" s="6"/>
      <c r="F20" s="6"/>
      <c r="G20" s="6"/>
      <c r="H20" s="6"/>
      <c r="I20" s="6" t="str">
        <f>TEXT(IF(Sheet1!R14=0,"",Sheet1!R14),"hh:mm")</f>
        <v>06:00</v>
      </c>
      <c r="J20" s="43">
        <f t="shared" si="4"/>
        <v>0.28125</v>
      </c>
      <c r="K20" s="39"/>
      <c r="L20" s="100">
        <f t="shared" si="17"/>
        <v>2</v>
      </c>
      <c r="M20" s="8">
        <f>IF(copas!F14="","",copas!F14)</f>
        <v>43724</v>
      </c>
      <c r="N20" s="14">
        <f t="shared" si="5"/>
        <v>43724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45</v>
      </c>
      <c r="W20" s="25">
        <f t="shared" si="13"/>
        <v>6</v>
      </c>
      <c r="X20" s="6">
        <f t="shared" si="13"/>
        <v>45</v>
      </c>
      <c r="Y20" s="26">
        <f t="shared" si="14"/>
        <v>6.75</v>
      </c>
      <c r="Z20" s="42">
        <f t="shared" si="15"/>
        <v>0.28125</v>
      </c>
      <c r="AA20" s="7" t="str">
        <f t="shared" si="16"/>
        <v>06:45</v>
      </c>
    </row>
    <row r="21" spans="1:27" s="7" customFormat="1" ht="18.75" customHeight="1" x14ac:dyDescent="0.25">
      <c r="A21" s="15">
        <f t="shared" si="0"/>
        <v>43725</v>
      </c>
      <c r="B21" s="43" t="str">
        <f>TEXT(Sheet1!H15,"hh:mm")&amp;" - "&amp;TEXT(Sheet1!I15,"hh:mm")</f>
        <v>07:00 - 13:00</v>
      </c>
      <c r="C21" s="111">
        <f>IFERROR(IF(Sheet1!J15=0,"",Sheet1!J15),"")</f>
        <v>0.28263888888888888</v>
      </c>
      <c r="D21" s="111">
        <f>IFERROR(IF(Sheet1!K15=0,"",Sheet1!K15),"")</f>
        <v>0.57430555555555551</v>
      </c>
      <c r="E21" s="6"/>
      <c r="F21" s="6"/>
      <c r="G21" s="6"/>
      <c r="H21" s="6"/>
      <c r="I21" s="6" t="str">
        <f>TEXT(IF(Sheet1!R15=0,"",Sheet1!R15),"hh:mm")</f>
        <v>06:00</v>
      </c>
      <c r="J21" s="43">
        <f t="shared" si="4"/>
        <v>0.29166666666666663</v>
      </c>
      <c r="K21" s="39"/>
      <c r="L21" s="100">
        <f t="shared" si="17"/>
        <v>3</v>
      </c>
      <c r="M21" s="8">
        <f>IF(copas!F15="","",copas!F15)</f>
        <v>43725</v>
      </c>
      <c r="N21" s="14">
        <f t="shared" si="5"/>
        <v>43725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07</v>
      </c>
      <c r="V21" s="33" t="str">
        <f t="shared" si="12"/>
        <v>00</v>
      </c>
      <c r="W21" s="25">
        <f t="shared" si="13"/>
        <v>7</v>
      </c>
      <c r="X21" s="6">
        <f t="shared" si="13"/>
        <v>0</v>
      </c>
      <c r="Y21" s="26">
        <f t="shared" si="14"/>
        <v>6.9999999999999991</v>
      </c>
      <c r="Z21" s="42">
        <f t="shared" si="15"/>
        <v>0.29166666666666663</v>
      </c>
      <c r="AA21" s="7" t="str">
        <f t="shared" si="16"/>
        <v>07:00</v>
      </c>
    </row>
    <row r="22" spans="1:27" s="7" customFormat="1" ht="18.75" customHeight="1" x14ac:dyDescent="0.25">
      <c r="A22" s="15">
        <f t="shared" si="0"/>
        <v>43726</v>
      </c>
      <c r="B22" s="43" t="str">
        <f>TEXT(Sheet1!H16,"hh:mm")&amp;" - "&amp;TEXT(Sheet1!I16,"hh:mm")</f>
        <v>07:00 - 13:00</v>
      </c>
      <c r="C22" s="111">
        <f>IFERROR(IF(Sheet1!J16=0,"",Sheet1!J16),"")</f>
        <v>0.27152777777777776</v>
      </c>
      <c r="D22" s="111">
        <f>IFERROR(IF(Sheet1!K16=0,"",Sheet1!K16),"")</f>
        <v>0.57152777777777775</v>
      </c>
      <c r="E22" s="6"/>
      <c r="F22" s="6"/>
      <c r="G22" s="6"/>
      <c r="H22" s="6"/>
      <c r="I22" s="6" t="str">
        <f>TEXT(IF(Sheet1!R16=0,"",Sheet1!R16),"hh:mm")</f>
        <v>06:00</v>
      </c>
      <c r="J22" s="43">
        <f t="shared" si="4"/>
        <v>0.3</v>
      </c>
      <c r="K22" s="39"/>
      <c r="L22" s="100">
        <f t="shared" si="17"/>
        <v>4</v>
      </c>
      <c r="M22" s="8">
        <f>IF(copas!F16="","",copas!F16)</f>
        <v>43726</v>
      </c>
      <c r="N22" s="14">
        <f t="shared" si="5"/>
        <v>43726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07</v>
      </c>
      <c r="V22" s="33" t="str">
        <f t="shared" si="12"/>
        <v>12</v>
      </c>
      <c r="W22" s="25">
        <f t="shared" si="13"/>
        <v>7</v>
      </c>
      <c r="X22" s="6">
        <f t="shared" si="13"/>
        <v>12</v>
      </c>
      <c r="Y22" s="26">
        <f t="shared" si="14"/>
        <v>7.1999999999999993</v>
      </c>
      <c r="Z22" s="42">
        <f t="shared" si="15"/>
        <v>0.3</v>
      </c>
      <c r="AA22" s="7" t="str">
        <f t="shared" si="16"/>
        <v>07:12</v>
      </c>
    </row>
    <row r="23" spans="1:27" s="7" customFormat="1" ht="18.75" customHeight="1" x14ac:dyDescent="0.25">
      <c r="A23" s="15">
        <f t="shared" ref="A23:A33" si="18">IF(N23="","",N23)</f>
        <v>43727</v>
      </c>
      <c r="B23" s="43" t="str">
        <f>TEXT(Sheet1!H17,"hh:mm")&amp;" - "&amp;TEXT(Sheet1!I17,"hh:mm")</f>
        <v>07:00 - 13:00</v>
      </c>
      <c r="C23" s="111">
        <f>IFERROR(IF(Sheet1!J17=0,"",Sheet1!J17),"")</f>
        <v>0.28333333333333333</v>
      </c>
      <c r="D23" s="111">
        <f>IFERROR(IF(Sheet1!K17=0,"",Sheet1!K17),"")</f>
        <v>0.54374999999999996</v>
      </c>
      <c r="E23" s="6"/>
      <c r="F23" s="6"/>
      <c r="G23" s="6"/>
      <c r="H23" s="6"/>
      <c r="I23" s="6" t="str">
        <f>TEXT(IF(Sheet1!R17=0,"",Sheet1!R17),"hh:mm")</f>
        <v>05:00</v>
      </c>
      <c r="J23" s="92">
        <f t="shared" si="4"/>
        <v>0.26041666666666663</v>
      </c>
      <c r="K23" s="39"/>
      <c r="L23" s="100">
        <f t="shared" si="17"/>
        <v>5</v>
      </c>
      <c r="M23" s="8">
        <f>IF(copas!F17="","",copas!F17)</f>
        <v>43727</v>
      </c>
      <c r="N23" s="14">
        <f t="shared" si="5"/>
        <v>43727</v>
      </c>
      <c r="O23" s="7">
        <f>IFERROR(VALUE(Sheet1!M17),"")</f>
        <v>1</v>
      </c>
      <c r="P23" s="25" t="str">
        <f t="shared" si="6"/>
        <v>05</v>
      </c>
      <c r="Q23" s="26" t="str">
        <f t="shared" si="7"/>
        <v>00</v>
      </c>
      <c r="R23" s="29">
        <f t="shared" si="8"/>
        <v>5</v>
      </c>
      <c r="S23" s="6">
        <f t="shared" si="9"/>
        <v>0</v>
      </c>
      <c r="T23" s="26">
        <f t="shared" si="10"/>
        <v>5</v>
      </c>
      <c r="U23" s="25" t="str">
        <f t="shared" si="11"/>
        <v>06</v>
      </c>
      <c r="V23" s="33" t="str">
        <f t="shared" si="12"/>
        <v>15</v>
      </c>
      <c r="W23" s="25">
        <f t="shared" si="13"/>
        <v>6</v>
      </c>
      <c r="X23" s="6">
        <f t="shared" si="13"/>
        <v>15</v>
      </c>
      <c r="Y23" s="26">
        <f t="shared" si="14"/>
        <v>6.2499999999999991</v>
      </c>
      <c r="Z23" s="42">
        <f t="shared" si="15"/>
        <v>0.26041666666666663</v>
      </c>
      <c r="AA23" s="7" t="str">
        <f t="shared" si="16"/>
        <v>06:15</v>
      </c>
    </row>
    <row r="24" spans="1:27" s="7" customFormat="1" ht="18.75" customHeight="1" x14ac:dyDescent="0.25">
      <c r="A24" s="15">
        <f t="shared" si="18"/>
        <v>43728</v>
      </c>
      <c r="B24" s="43" t="str">
        <f>TEXT(Sheet1!H18,"hh:mm")&amp;" - "&amp;TEXT(Sheet1!I18,"hh:mm")</f>
        <v>07:00 - 11:00</v>
      </c>
      <c r="C24" s="111">
        <f>IFERROR(IF(Sheet1!J18=0,"",Sheet1!J18),"")</f>
        <v>0.28541666666666665</v>
      </c>
      <c r="D24" s="111">
        <f>IFERROR(IF(Sheet1!K18=0,"",Sheet1!K18),"")</f>
        <v>0.46111111111111114</v>
      </c>
      <c r="E24" s="6"/>
      <c r="F24" s="6"/>
      <c r="G24" s="6"/>
      <c r="H24" s="6"/>
      <c r="I24" s="6" t="str">
        <f>TEXT(IF(Sheet1!R18=0,"",Sheet1!R18),"hh:mm")</f>
        <v>04:00</v>
      </c>
      <c r="J24" s="43">
        <f t="shared" si="4"/>
        <v>0.17569444444444449</v>
      </c>
      <c r="K24" s="39"/>
      <c r="L24" s="100">
        <f t="shared" si="17"/>
        <v>6</v>
      </c>
      <c r="M24" s="8">
        <f>IF(copas!F18="","",copas!F18)</f>
        <v>43728</v>
      </c>
      <c r="N24" s="14">
        <f t="shared" si="5"/>
        <v>43728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04</v>
      </c>
      <c r="V24" s="33" t="str">
        <f t="shared" si="12"/>
        <v>13</v>
      </c>
      <c r="W24" s="25">
        <f t="shared" si="13"/>
        <v>4</v>
      </c>
      <c r="X24" s="6">
        <f t="shared" si="13"/>
        <v>13</v>
      </c>
      <c r="Y24" s="26">
        <f t="shared" si="14"/>
        <v>4.2166666666666677</v>
      </c>
      <c r="Z24" s="42">
        <f t="shared" si="15"/>
        <v>0.17569444444444449</v>
      </c>
      <c r="AA24" s="7" t="str">
        <f t="shared" si="16"/>
        <v>04:13</v>
      </c>
    </row>
    <row r="25" spans="1:27" s="7" customFormat="1" ht="18.75" customHeight="1" x14ac:dyDescent="0.25">
      <c r="A25" s="15">
        <f t="shared" si="18"/>
        <v>43729</v>
      </c>
      <c r="B25" s="43" t="str">
        <f>TEXT(Sheet1!H19,"hh:mm")&amp;" - "&amp;TEXT(Sheet1!I19,"hh:mm")</f>
        <v>07:00 - 12:00</v>
      </c>
      <c r="C25" s="111">
        <f>IFERROR(IF(Sheet1!J19=0,"",Sheet1!J19),"")</f>
        <v>0.28125</v>
      </c>
      <c r="D25" s="111">
        <f>IFERROR(IF(Sheet1!K19=0,"",Sheet1!K19),"")</f>
        <v>0.53194444444444444</v>
      </c>
      <c r="E25" s="6"/>
      <c r="F25" s="6"/>
      <c r="G25" s="6"/>
      <c r="H25" s="6"/>
      <c r="I25" s="6" t="str">
        <f>TEXT(IF(Sheet1!R19=0,"",Sheet1!R19),"hh:mm")</f>
        <v>05:00</v>
      </c>
      <c r="J25" s="43">
        <f t="shared" si="4"/>
        <v>0.25069444444444444</v>
      </c>
      <c r="K25" s="39"/>
      <c r="L25" s="100">
        <f t="shared" si="17"/>
        <v>7</v>
      </c>
      <c r="M25" s="8">
        <f>IF(copas!F19="","",copas!F19)</f>
        <v>43729</v>
      </c>
      <c r="N25" s="14">
        <f t="shared" si="5"/>
        <v>43729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06</v>
      </c>
      <c r="V25" s="33" t="str">
        <f t="shared" si="12"/>
        <v>01</v>
      </c>
      <c r="W25" s="25">
        <f t="shared" si="13"/>
        <v>6</v>
      </c>
      <c r="X25" s="6">
        <f t="shared" si="13"/>
        <v>1</v>
      </c>
      <c r="Y25" s="26">
        <f t="shared" si="14"/>
        <v>6.0166666666666666</v>
      </c>
      <c r="Z25" s="42">
        <f t="shared" si="15"/>
        <v>0.25069444444444444</v>
      </c>
      <c r="AA25" s="7" t="str">
        <f t="shared" si="16"/>
        <v>06:01</v>
      </c>
    </row>
    <row r="26" spans="1:27" s="7" customFormat="1" ht="18.75" customHeight="1" x14ac:dyDescent="0.25">
      <c r="A26" s="15">
        <f t="shared" si="18"/>
        <v>43731</v>
      </c>
      <c r="B26" s="43" t="str">
        <f>TEXT(Sheet1!H20,"hh:mm")&amp;" - "&amp;TEXT(Sheet1!I20,"hh:mm")</f>
        <v>07:00 - 13:00</v>
      </c>
      <c r="C26" s="111">
        <f>IFERROR(IF(Sheet1!J20=0,"",Sheet1!J20),"")</f>
        <v>0.28055555555555556</v>
      </c>
      <c r="D26" s="111">
        <f>IFERROR(IF(Sheet1!K20=0,"",Sheet1!K20),"")</f>
        <v>0.5541666666666667</v>
      </c>
      <c r="E26" s="6"/>
      <c r="F26" s="6"/>
      <c r="G26" s="6"/>
      <c r="H26" s="6"/>
      <c r="I26" s="6" t="str">
        <f>TEXT(IF(Sheet1!R20=0,"",Sheet1!R20),"hh:mm")</f>
        <v>06:00</v>
      </c>
      <c r="J26" s="43">
        <f t="shared" si="4"/>
        <v>0.27361111111111114</v>
      </c>
      <c r="K26" s="39"/>
      <c r="L26" s="100">
        <f t="shared" si="17"/>
        <v>2</v>
      </c>
      <c r="M26" s="8">
        <f>IF(copas!F20="","",copas!F20)</f>
        <v>43731</v>
      </c>
      <c r="N26" s="14">
        <f t="shared" si="5"/>
        <v>43731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34</v>
      </c>
      <c r="W26" s="25">
        <f t="shared" si="13"/>
        <v>6</v>
      </c>
      <c r="X26" s="6">
        <f t="shared" si="13"/>
        <v>34</v>
      </c>
      <c r="Y26" s="26">
        <f t="shared" si="14"/>
        <v>6.5666666666666673</v>
      </c>
      <c r="Z26" s="42">
        <f t="shared" si="15"/>
        <v>0.27361111111111114</v>
      </c>
      <c r="AA26" s="7" t="str">
        <f t="shared" si="16"/>
        <v>06:34</v>
      </c>
    </row>
    <row r="27" spans="1:27" s="7" customFormat="1" ht="18.75" customHeight="1" x14ac:dyDescent="0.25">
      <c r="A27" s="15">
        <f t="shared" si="18"/>
        <v>43732</v>
      </c>
      <c r="B27" s="43" t="str">
        <f>TEXT(Sheet1!H21,"hh:mm")&amp;" - "&amp;TEXT(Sheet1!I21,"hh:mm")</f>
        <v>07:00 - 13:00</v>
      </c>
      <c r="C27" s="111">
        <f>IFERROR(IF(Sheet1!J21=0,"",Sheet1!J21),"")</f>
        <v>0.27430555555555552</v>
      </c>
      <c r="D27" s="111">
        <f>IFERROR(IF(Sheet1!K21=0,"",Sheet1!K21),"")</f>
        <v>0.66527777777777775</v>
      </c>
      <c r="E27" s="6"/>
      <c r="F27" s="6"/>
      <c r="G27" s="6"/>
      <c r="H27" s="6"/>
      <c r="I27" s="6" t="str">
        <f>TEXT(IF(Sheet1!R21=0,"",Sheet1!R21),"hh:mm")</f>
        <v>06:00</v>
      </c>
      <c r="J27" s="43">
        <f t="shared" si="4"/>
        <v>0.39097222222222222</v>
      </c>
      <c r="K27" s="39"/>
      <c r="L27" s="100">
        <f t="shared" si="17"/>
        <v>3</v>
      </c>
      <c r="M27" s="8">
        <f>IF(copas!F21="","",copas!F21)</f>
        <v>43732</v>
      </c>
      <c r="N27" s="14">
        <f t="shared" si="5"/>
        <v>43732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09</v>
      </c>
      <c r="V27" s="33" t="str">
        <f t="shared" si="12"/>
        <v>23</v>
      </c>
      <c r="W27" s="25">
        <f t="shared" si="13"/>
        <v>9</v>
      </c>
      <c r="X27" s="6">
        <f t="shared" si="13"/>
        <v>23</v>
      </c>
      <c r="Y27" s="26">
        <f t="shared" si="14"/>
        <v>9.3833333333333329</v>
      </c>
      <c r="Z27" s="42">
        <f t="shared" si="15"/>
        <v>0.39097222222222222</v>
      </c>
      <c r="AA27" s="7" t="str">
        <f t="shared" si="16"/>
        <v>09:23</v>
      </c>
    </row>
    <row r="28" spans="1:27" s="7" customFormat="1" ht="18.75" customHeight="1" x14ac:dyDescent="0.25">
      <c r="A28" s="15">
        <f t="shared" si="18"/>
        <v>43733</v>
      </c>
      <c r="B28" s="43" t="str">
        <f>TEXT(Sheet1!H22,"hh:mm")&amp;" - "&amp;TEXT(Sheet1!I22,"hh:mm")</f>
        <v>07:00 - 13:00</v>
      </c>
      <c r="C28" s="111">
        <f>IFERROR(IF(Sheet1!J22=0,"",Sheet1!J22),"")</f>
        <v>0.26874999999999999</v>
      </c>
      <c r="D28" s="111">
        <f>IFERROR(IF(Sheet1!K22=0,"",Sheet1!K22),"")</f>
        <v>0.57361111111111107</v>
      </c>
      <c r="E28" s="6"/>
      <c r="F28" s="6"/>
      <c r="G28" s="6"/>
      <c r="H28" s="6"/>
      <c r="I28" s="6" t="str">
        <f>TEXT(IF(Sheet1!R22=0,"",Sheet1!R22),"hh:mm")</f>
        <v>06:00</v>
      </c>
      <c r="J28" s="43">
        <f t="shared" si="4"/>
        <v>0.30486111111111108</v>
      </c>
      <c r="K28" s="39"/>
      <c r="L28" s="100">
        <f t="shared" si="17"/>
        <v>4</v>
      </c>
      <c r="M28" s="8">
        <f>IF(copas!F22="","",copas!F22)</f>
        <v>43733</v>
      </c>
      <c r="N28" s="14">
        <f t="shared" si="5"/>
        <v>43733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07</v>
      </c>
      <c r="V28" s="33" t="str">
        <f t="shared" si="12"/>
        <v>19</v>
      </c>
      <c r="W28" s="25">
        <f t="shared" si="13"/>
        <v>7</v>
      </c>
      <c r="X28" s="6">
        <f t="shared" si="13"/>
        <v>19</v>
      </c>
      <c r="Y28" s="26">
        <f t="shared" si="14"/>
        <v>7.3166666666666664</v>
      </c>
      <c r="Z28" s="42">
        <f t="shared" si="15"/>
        <v>0.30486111111111108</v>
      </c>
      <c r="AA28" s="7" t="str">
        <f t="shared" si="16"/>
        <v>07:19</v>
      </c>
    </row>
    <row r="29" spans="1:27" s="7" customFormat="1" ht="18.75" customHeight="1" x14ac:dyDescent="0.25">
      <c r="A29" s="15">
        <f t="shared" si="18"/>
        <v>43734</v>
      </c>
      <c r="B29" s="43" t="str">
        <f>TEXT(Sheet1!H23,"hh:mm")&amp;" - "&amp;TEXT(Sheet1!I23,"hh:mm")</f>
        <v>07:00 - 13:00</v>
      </c>
      <c r="C29" s="111">
        <f>IFERROR(IF(Sheet1!J23=0,"",Sheet1!J23),"")</f>
        <v>0.27361111111111108</v>
      </c>
      <c r="D29" s="111">
        <f>IFERROR(IF(Sheet1!K23=0,"",Sheet1!K23),"")</f>
        <v>0.55555555555555558</v>
      </c>
      <c r="E29" s="6"/>
      <c r="F29" s="6"/>
      <c r="G29" s="6"/>
      <c r="H29" s="6"/>
      <c r="I29" s="6" t="str">
        <f>TEXT(IF(Sheet1!R23=0,"",Sheet1!R23),"hh:mm")</f>
        <v>06:00</v>
      </c>
      <c r="J29" s="43">
        <f t="shared" si="4"/>
        <v>0.2819444444444445</v>
      </c>
      <c r="K29" s="39"/>
      <c r="L29" s="100">
        <f t="shared" si="17"/>
        <v>5</v>
      </c>
      <c r="M29" s="8">
        <f>IF(copas!F23="","",copas!F23)</f>
        <v>43734</v>
      </c>
      <c r="N29" s="14">
        <f t="shared" si="5"/>
        <v>43734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46</v>
      </c>
      <c r="W29" s="25">
        <f t="shared" si="13"/>
        <v>6</v>
      </c>
      <c r="X29" s="6">
        <f t="shared" si="13"/>
        <v>46</v>
      </c>
      <c r="Y29" s="26">
        <f t="shared" si="14"/>
        <v>6.7666666666666675</v>
      </c>
      <c r="Z29" s="42">
        <f t="shared" si="15"/>
        <v>0.2819444444444445</v>
      </c>
      <c r="AA29" s="7" t="str">
        <f t="shared" si="16"/>
        <v>06:46</v>
      </c>
    </row>
    <row r="30" spans="1:27" s="7" customFormat="1" ht="18.75" customHeight="1" x14ac:dyDescent="0.25">
      <c r="A30" s="15">
        <f t="shared" si="18"/>
        <v>43735</v>
      </c>
      <c r="B30" s="43" t="str">
        <f>TEXT(Sheet1!H24,"hh:mm")&amp;" - "&amp;TEXT(Sheet1!I24,"hh:mm")</f>
        <v>07:00 - 11:00</v>
      </c>
      <c r="C30" s="111">
        <f>IFERROR(IF(Sheet1!J24=0,"",Sheet1!J24),"")</f>
        <v>0.28055555555555556</v>
      </c>
      <c r="D30" s="111">
        <f>IFERROR(IF(Sheet1!K24=0,"",Sheet1!K24),"")</f>
        <v>0.46597222222222223</v>
      </c>
      <c r="E30" s="6"/>
      <c r="F30" s="6"/>
      <c r="G30" s="6"/>
      <c r="H30" s="6"/>
      <c r="I30" s="6" t="str">
        <f>TEXT(IF(Sheet1!R24=0,"",Sheet1!R24),"hh:mm")</f>
        <v>04:00</v>
      </c>
      <c r="J30" s="43">
        <f t="shared" si="4"/>
        <v>0.18541666666666667</v>
      </c>
      <c r="K30" s="39"/>
      <c r="L30" s="100">
        <f t="shared" si="17"/>
        <v>6</v>
      </c>
      <c r="M30" s="8">
        <f>IF(copas!F24="","",copas!F24)</f>
        <v>43735</v>
      </c>
      <c r="N30" s="14">
        <f t="shared" si="5"/>
        <v>43735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27</v>
      </c>
      <c r="W30" s="25">
        <f t="shared" si="13"/>
        <v>4</v>
      </c>
      <c r="X30" s="6">
        <f t="shared" si="13"/>
        <v>27</v>
      </c>
      <c r="Y30" s="26">
        <f t="shared" si="14"/>
        <v>4.45</v>
      </c>
      <c r="Z30" s="42">
        <f t="shared" si="15"/>
        <v>0.18541666666666667</v>
      </c>
      <c r="AA30" s="7" t="str">
        <f t="shared" si="16"/>
        <v>04:27</v>
      </c>
    </row>
    <row r="31" spans="1:27" s="7" customFormat="1" ht="18.75" customHeight="1" x14ac:dyDescent="0.25">
      <c r="A31" s="15">
        <f t="shared" si="18"/>
        <v>43736</v>
      </c>
      <c r="B31" s="43" t="str">
        <f>TEXT(Sheet1!H25,"hh:mm")&amp;" - "&amp;TEXT(Sheet1!I25,"hh:mm")</f>
        <v>07:00 - 12:00</v>
      </c>
      <c r="C31" s="111">
        <f>IFERROR(IF(Sheet1!J25=0,"",Sheet1!J25),"")</f>
        <v>0.28125</v>
      </c>
      <c r="D31" s="111">
        <f>IFERROR(IF(Sheet1!K25=0,"",Sheet1!K25),"")</f>
        <v>0.54374999999999996</v>
      </c>
      <c r="E31" s="6"/>
      <c r="F31" s="6"/>
      <c r="G31" s="6"/>
      <c r="H31" s="6"/>
      <c r="I31" s="6" t="str">
        <f>TEXT(IF(Sheet1!R25=0,"",Sheet1!R25),"hh:mm")</f>
        <v>05:00</v>
      </c>
      <c r="J31" s="43">
        <f t="shared" si="4"/>
        <v>0.26249999999999996</v>
      </c>
      <c r="K31" s="39"/>
      <c r="L31" s="100">
        <f t="shared" si="17"/>
        <v>7</v>
      </c>
      <c r="M31" s="8">
        <f>IF(copas!F25="","",copas!F25)</f>
        <v>43736</v>
      </c>
      <c r="N31" s="14">
        <f t="shared" si="5"/>
        <v>43736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06</v>
      </c>
      <c r="V31" s="33" t="str">
        <f t="shared" si="12"/>
        <v>18</v>
      </c>
      <c r="W31" s="25">
        <f t="shared" si="13"/>
        <v>6</v>
      </c>
      <c r="X31" s="6">
        <f t="shared" si="13"/>
        <v>18</v>
      </c>
      <c r="Y31" s="26">
        <f t="shared" si="14"/>
        <v>6.2999999999999989</v>
      </c>
      <c r="Z31" s="42">
        <f t="shared" si="15"/>
        <v>0.26249999999999996</v>
      </c>
      <c r="AA31" s="7" t="str">
        <f t="shared" si="16"/>
        <v>06:18</v>
      </c>
    </row>
    <row r="32" spans="1:27" s="7" customFormat="1" ht="18.75" customHeight="1" x14ac:dyDescent="0.25">
      <c r="A32" s="15">
        <f t="shared" si="18"/>
        <v>43738</v>
      </c>
      <c r="B32" s="43" t="str">
        <f>TEXT(Sheet1!H26,"hh:mm")&amp;" - "&amp;TEXT(Sheet1!I26,"hh:mm")</f>
        <v>07:00 - 13:00</v>
      </c>
      <c r="C32" s="111">
        <f>IFERROR(IF(Sheet1!J26=0,"",Sheet1!J26),"")</f>
        <v>0.28472222222222221</v>
      </c>
      <c r="D32" s="111">
        <f>IFERROR(IF(Sheet1!K26=0,"",Sheet1!K26),"")</f>
        <v>0.56458333333333333</v>
      </c>
      <c r="E32" s="6"/>
      <c r="F32" s="6"/>
      <c r="G32" s="6"/>
      <c r="H32" s="6"/>
      <c r="I32" s="6" t="str">
        <f>TEXT(IF(Sheet1!R26=0,"",Sheet1!R26),"hh:mm")</f>
        <v>06:00</v>
      </c>
      <c r="J32" s="43">
        <f t="shared" si="4"/>
        <v>0.27986111111111112</v>
      </c>
      <c r="K32" s="39"/>
      <c r="L32" s="100">
        <f t="shared" si="17"/>
        <v>2</v>
      </c>
      <c r="M32" s="8">
        <f>IF(copas!F26="","",copas!F26)</f>
        <v>43738</v>
      </c>
      <c r="N32" s="14">
        <f t="shared" si="5"/>
        <v>43738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43</v>
      </c>
      <c r="W32" s="25">
        <f t="shared" si="13"/>
        <v>6</v>
      </c>
      <c r="X32" s="6">
        <f t="shared" si="13"/>
        <v>43</v>
      </c>
      <c r="Y32" s="26">
        <f t="shared" si="14"/>
        <v>6.7166666666666668</v>
      </c>
      <c r="Z32" s="42">
        <f t="shared" si="15"/>
        <v>0.27986111111111112</v>
      </c>
      <c r="AA32" s="7" t="str">
        <f t="shared" si="16"/>
        <v>06:43</v>
      </c>
    </row>
    <row r="33" spans="1:27" s="7" customFormat="1" ht="18.75" customHeight="1" x14ac:dyDescent="0.25">
      <c r="A33" s="15" t="str">
        <f t="shared" si="18"/>
        <v/>
      </c>
      <c r="B33" s="43" t="str">
        <f>TEXT([1]Sheet1!H27,"hh:mm")&amp;" - "&amp;TEXT([1]Sheet1!I27,"hh:mm")</f>
        <v xml:space="preserve"> - </v>
      </c>
      <c r="C33" s="111" t="str">
        <f>IFERROR(IF([1]Sheet1!J27=0,"",[1]Sheet1!J27),"")</f>
        <v/>
      </c>
      <c r="D33" s="111" t="str">
        <f>IFERROR(IF([1]Sheet1!K27=0,"",[1]Sheet1!K27),"")</f>
        <v/>
      </c>
      <c r="E33" s="6"/>
      <c r="F33" s="6"/>
      <c r="G33" s="6"/>
      <c r="H33" s="6"/>
      <c r="I33" s="6" t="str">
        <f>TEXT(IF([1]Sheet1!R27=0,"",[1]Sheet1!R27),"hh:mm")</f>
        <v/>
      </c>
      <c r="J33" s="43" t="str">
        <f t="shared" si="4"/>
        <v/>
      </c>
      <c r="K33" s="39"/>
      <c r="L33" s="100" t="e">
        <f t="shared" si="17"/>
        <v>#VALUE!</v>
      </c>
      <c r="M33" s="8" t="str">
        <f>IF(copas!F27="","",copas!F27)</f>
        <v/>
      </c>
      <c r="N33" s="14" t="str">
        <f>IF(M33="","",M33)</f>
        <v/>
      </c>
      <c r="O33" s="7" t="str">
        <f>IFERROR(VALUE(Sheet1!M27),"")</f>
        <v/>
      </c>
      <c r="P33" s="25" t="str">
        <f t="shared" si="6"/>
        <v/>
      </c>
      <c r="Q33" s="26" t="str">
        <f t="shared" si="7"/>
        <v/>
      </c>
      <c r="R33" s="29" t="str">
        <f t="shared" si="8"/>
        <v/>
      </c>
      <c r="S33" s="6" t="str">
        <f t="shared" si="9"/>
        <v/>
      </c>
      <c r="T33" s="26" t="str">
        <f t="shared" si="10"/>
        <v/>
      </c>
      <c r="U33" s="25" t="str">
        <f t="shared" si="11"/>
        <v/>
      </c>
      <c r="V33" s="33" t="str">
        <f t="shared" si="12"/>
        <v/>
      </c>
      <c r="W33" s="25" t="str">
        <f t="shared" si="13"/>
        <v/>
      </c>
      <c r="X33" s="6" t="str">
        <f t="shared" si="13"/>
        <v/>
      </c>
      <c r="Y33" s="26" t="str">
        <f t="shared" si="14"/>
        <v/>
      </c>
      <c r="Z33" s="42" t="str">
        <f t="shared" si="15"/>
        <v/>
      </c>
      <c r="AA33" s="7" t="str">
        <f t="shared" si="16"/>
        <v/>
      </c>
    </row>
    <row r="34" spans="1:27" s="7" customFormat="1" ht="18.75" customHeight="1" thickBot="1" x14ac:dyDescent="0.3">
      <c r="A34" s="15" t="str">
        <f>IF(N34="","",N34)</f>
        <v/>
      </c>
      <c r="B34" s="43" t="str">
        <f>TEXT([1]Sheet1!H28,"hh:mm")&amp;" - "&amp;TEXT([1]Sheet1!I28,"hh:mm")</f>
        <v xml:space="preserve"> - </v>
      </c>
      <c r="C34" s="111" t="str">
        <f>IFERROR(IF([1]Sheet1!J28=0,"",[1]Sheet1!J28),"")</f>
        <v/>
      </c>
      <c r="D34" s="111" t="str">
        <f>IFERROR(IF([1]Sheet1!K28=0,"",[1]Sheet1!K28),"")</f>
        <v/>
      </c>
      <c r="E34" s="6"/>
      <c r="F34" s="6"/>
      <c r="G34" s="6"/>
      <c r="H34" s="6"/>
      <c r="I34" s="6" t="str">
        <f>TEXT(IF([1]Sheet1!R28=0,"",[1]Sheet1!R28),"hh:mm")</f>
        <v/>
      </c>
      <c r="J34" s="43" t="str">
        <f t="shared" si="4"/>
        <v/>
      </c>
      <c r="K34" s="39"/>
      <c r="L34" s="100" t="e">
        <f t="shared" si="17"/>
        <v>#VALUE!</v>
      </c>
      <c r="M34" s="8" t="str">
        <f>IF(copas!F28="","",copas!F28)</f>
        <v/>
      </c>
      <c r="N34" s="14" t="str">
        <f t="shared" ref="N34" si="19">M34</f>
        <v/>
      </c>
      <c r="O34" s="7" t="str">
        <f>IFERROR(VALUE(Sheet1!M28),"")</f>
        <v/>
      </c>
      <c r="P34" s="31" t="str">
        <f t="shared" si="6"/>
        <v/>
      </c>
      <c r="Q34" s="32" t="str">
        <f t="shared" si="7"/>
        <v/>
      </c>
      <c r="R34" s="30" t="str">
        <f t="shared" si="8"/>
        <v/>
      </c>
      <c r="S34" s="28" t="str">
        <f t="shared" si="9"/>
        <v/>
      </c>
      <c r="T34" s="26" t="str">
        <f t="shared" si="10"/>
        <v/>
      </c>
      <c r="U34" s="27" t="str">
        <f t="shared" ref="U34" si="20">LEFT(J34,2)</f>
        <v/>
      </c>
      <c r="V34" s="33" t="str">
        <f t="shared" si="12"/>
        <v/>
      </c>
      <c r="W34" s="27" t="str">
        <f t="shared" si="13"/>
        <v/>
      </c>
      <c r="X34" s="28" t="str">
        <f t="shared" si="13"/>
        <v/>
      </c>
      <c r="Y34" s="26" t="str">
        <f t="shared" si="14"/>
        <v/>
      </c>
      <c r="Z34" s="42" t="str">
        <f t="shared" si="15"/>
        <v/>
      </c>
      <c r="AA34" s="7" t="str">
        <f t="shared" si="16"/>
        <v/>
      </c>
    </row>
    <row r="35" spans="1:27" ht="25.5" customHeight="1" thickBot="1" x14ac:dyDescent="0.3">
      <c r="A35" s="18" t="str">
        <f>"Total Hari : "&amp;O35</f>
        <v>Total Hari : 25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3" t="str">
        <f>P36&amp;":"&amp;TEXT(P38,0)</f>
        <v>137:137</v>
      </c>
      <c r="J35" s="3" t="str">
        <f>TEXT(U36,0)&amp;":"&amp;TEXT(X36,0)</f>
        <v>164:1</v>
      </c>
      <c r="K35" s="10"/>
      <c r="O35">
        <f>SUM(O8:O34)</f>
        <v>25</v>
      </c>
      <c r="P35" s="21">
        <f>SUM(R8:R33)</f>
        <v>137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137</v>
      </c>
      <c r="U35" s="21">
        <f>SUM(W8:W34)</f>
        <v>153</v>
      </c>
      <c r="V35" s="34">
        <f>SUM(X8:X34)</f>
        <v>631</v>
      </c>
      <c r="W35" s="35" t="str">
        <f>LEFT(V35,2)&amp;0</f>
        <v>630</v>
      </c>
      <c r="X35" s="19" t="str">
        <f>RIGHT(V35,1)</f>
        <v>1</v>
      </c>
      <c r="Y35" s="37">
        <f>SUM(Y8:Y34)</f>
        <v>163.51666666666668</v>
      </c>
      <c r="Z35" s="41">
        <f>SUM(Z8:Z34)</f>
        <v>6.813194444444445</v>
      </c>
      <c r="AA35" s="40"/>
    </row>
    <row r="36" spans="1:27" ht="16.5" thickBot="1" x14ac:dyDescent="0.3">
      <c r="L36" s="7"/>
      <c r="P36" s="121">
        <f>SUM(LEFT(P35,3),R36)</f>
        <v>137</v>
      </c>
      <c r="Q36" s="122"/>
      <c r="R36" s="23">
        <f>R35/60</f>
        <v>0</v>
      </c>
      <c r="S36" s="9" t="str">
        <f>S35</f>
        <v>0</v>
      </c>
      <c r="T36" s="24"/>
      <c r="U36" s="126">
        <f>SUM(LEFT(U35,3),W36)</f>
        <v>163.5</v>
      </c>
      <c r="V36" s="127"/>
      <c r="W36" s="23">
        <f>W35/60</f>
        <v>10.5</v>
      </c>
      <c r="X36" s="9" t="str">
        <f>X35</f>
        <v>1</v>
      </c>
      <c r="Y36" s="38">
        <f>U36</f>
        <v>163.5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137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94"/>
      <c r="N40" s="119">
        <f>IF(N33="",N32)</f>
        <v>43738</v>
      </c>
      <c r="O40" s="94" t="s">
        <v>45</v>
      </c>
      <c r="P40" s="94" t="s">
        <v>46</v>
      </c>
      <c r="Q40" s="94" t="s">
        <v>47</v>
      </c>
      <c r="S40" s="98" t="s">
        <v>48</v>
      </c>
    </row>
    <row r="41" spans="1:27" x14ac:dyDescent="0.25">
      <c r="M41" s="95"/>
      <c r="N41" s="119">
        <f>N40+DATE(0,1,2)</f>
        <v>43740</v>
      </c>
      <c r="O41" s="95">
        <f>DAY(N41)</f>
        <v>2</v>
      </c>
      <c r="P41" s="95">
        <f>MONTH(N41)</f>
        <v>10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4"/>
      <c r="O42" s="95">
        <f>DAY(N42)</f>
        <v>0</v>
      </c>
      <c r="P42" s="95" t="str">
        <f>TEXT(MONTH(N42)*29,"mmmm")</f>
        <v>Januari</v>
      </c>
      <c r="Q42" s="95">
        <f>YEAR(N42)</f>
        <v>1900</v>
      </c>
      <c r="R42" s="97" t="str">
        <f>VALUE(O42)&amp;" "&amp;P42</f>
        <v>0 Januari</v>
      </c>
      <c r="S42" s="97">
        <f>WEEKDAY(N42,1)</f>
        <v>7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20" t="str">
        <f>"Lumajang, "&amp;TEXT(N41,"dd mmmm yyyy")</f>
        <v>Lumajang, 02 Oktober 2019</v>
      </c>
      <c r="J43" s="120"/>
      <c r="K43" s="120"/>
      <c r="M43" s="95">
        <f>(WEEKDAY(N43,1))</f>
        <v>7</v>
      </c>
      <c r="N43" s="94"/>
      <c r="O43" s="95">
        <f>DAY(N43)</f>
        <v>0</v>
      </c>
      <c r="P43" s="95" t="str">
        <f>TEXT(MONTH(N43)*29,"mmmm")</f>
        <v>Januari</v>
      </c>
      <c r="Q43" s="95">
        <f>YEAR(N43)</f>
        <v>1900</v>
      </c>
      <c r="R43" s="97" t="str">
        <f>VALUE(O43)&amp;" "&amp;P43</f>
        <v>0 Januari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50</v>
      </c>
      <c r="C44" s="1"/>
      <c r="D44" s="1"/>
      <c r="E44" s="1"/>
      <c r="F44" s="1"/>
      <c r="G44" s="1"/>
      <c r="H44" s="1"/>
      <c r="I44" s="1" t="s">
        <v>38</v>
      </c>
      <c r="J44" s="16"/>
      <c r="K44" s="93"/>
      <c r="M44" s="95"/>
      <c r="N44" s="96">
        <f>N43+1</f>
        <v>1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81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49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O41:S43">
    <cfRule type="containsText" dxfId="7" priority="7" operator="containsText" text="Minggu">
      <formula>NOT(ISERROR(SEARCH("Minggu",M41)))</formula>
    </cfRule>
    <cfRule type="containsText" dxfId="6" priority="8" operator="containsText" text="Libur">
      <formula>NOT(ISERROR(SEARCH("Libur",M41)))</formula>
    </cfRule>
  </conditionalFormatting>
  <conditionalFormatting sqref="L8:L32">
    <cfRule type="containsText" dxfId="5" priority="5" operator="containsText" text="7">
      <formula>NOT(ISERROR(SEARCH("7",L8)))</formula>
    </cfRule>
    <cfRule type="containsText" dxfId="4" priority="6" operator="containsText" text="6">
      <formula>NOT(ISERROR(SEARCH("6",L8)))</formula>
    </cfRule>
  </conditionalFormatting>
  <conditionalFormatting sqref="M41:M43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33:L34">
    <cfRule type="containsText" dxfId="1" priority="1" operator="containsText" text="7">
      <formula>NOT(ISERROR(SEARCH("7",L33)))</formula>
    </cfRule>
    <cfRule type="containsText" dxfId="0" priority="2" operator="containsText" text="6">
      <formula>NOT(ISERROR(SEARCH("6",L33)))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5</v>
      </c>
      <c r="P1" s="49" t="s">
        <v>21</v>
      </c>
      <c r="R1" s="49" t="s">
        <v>22</v>
      </c>
    </row>
    <row r="2" spans="1:28" ht="14.25" customHeight="1" x14ac:dyDescent="0.25">
      <c r="A2" s="51" t="s">
        <v>23</v>
      </c>
      <c r="B2" s="49" t="str">
        <f>": "&amp;TEXT(REG!N8,"[$-id-ID]dd/mm/yyyy")&amp;" - "&amp;TEXT(REG!N41,"[$-id-ID]dd/mm/yyyy")</f>
        <v>: 02/09/2019 - 02/10/2019</v>
      </c>
      <c r="P2" s="52">
        <f>Q8</f>
        <v>661406</v>
      </c>
      <c r="Q2" s="52"/>
      <c r="R2" s="52">
        <f>Q36</f>
        <v>672487</v>
      </c>
    </row>
    <row r="3" spans="1:28" ht="14.25" customHeight="1" x14ac:dyDescent="0.25"/>
    <row r="4" spans="1:28" ht="14.25" customHeight="1" x14ac:dyDescent="0.25">
      <c r="A4" s="51" t="s">
        <v>6</v>
      </c>
      <c r="B4" s="49" t="s">
        <v>7</v>
      </c>
      <c r="H4" s="49" t="str">
        <f>Sheet1!V1</f>
        <v>Department</v>
      </c>
      <c r="J4" s="49" t="s">
        <v>26</v>
      </c>
    </row>
    <row r="5" spans="1:28" ht="14.25" customHeight="1" x14ac:dyDescent="0.25">
      <c r="A5" s="51" t="s">
        <v>8</v>
      </c>
      <c r="B5" s="49" t="s">
        <v>9</v>
      </c>
      <c r="H5" s="49" t="s">
        <v>24</v>
      </c>
      <c r="J5" s="49" t="s">
        <v>25</v>
      </c>
    </row>
    <row r="6" spans="1:28" ht="11.25" customHeight="1" thickBot="1" x14ac:dyDescent="0.3"/>
    <row r="7" spans="1:28" ht="23.25" customHeight="1" x14ac:dyDescent="0.25">
      <c r="A7" s="53" t="s">
        <v>11</v>
      </c>
      <c r="B7" s="53" t="s">
        <v>12</v>
      </c>
      <c r="C7" s="53" t="s">
        <v>10</v>
      </c>
      <c r="D7" s="54" t="s">
        <v>41</v>
      </c>
      <c r="E7" s="54" t="s">
        <v>42</v>
      </c>
      <c r="F7" s="53" t="s">
        <v>13</v>
      </c>
      <c r="G7" s="53" t="s">
        <v>14</v>
      </c>
      <c r="H7" s="53" t="s">
        <v>15</v>
      </c>
      <c r="I7" s="53" t="s">
        <v>16</v>
      </c>
      <c r="J7" s="53" t="s">
        <v>17</v>
      </c>
      <c r="K7" s="53" t="s">
        <v>18</v>
      </c>
      <c r="L7" s="53" t="s">
        <v>19</v>
      </c>
      <c r="M7" s="53" t="s">
        <v>43</v>
      </c>
      <c r="N7" s="53" t="s">
        <v>20</v>
      </c>
      <c r="P7" s="55" t="s">
        <v>34</v>
      </c>
      <c r="Q7" s="56"/>
      <c r="S7" s="128" t="s">
        <v>18</v>
      </c>
      <c r="T7" s="129"/>
      <c r="U7" s="130" t="s">
        <v>33</v>
      </c>
      <c r="V7" s="130"/>
      <c r="W7" s="129"/>
      <c r="X7" s="128" t="s">
        <v>19</v>
      </c>
      <c r="Y7" s="130"/>
      <c r="Z7" s="128" t="s">
        <v>33</v>
      </c>
      <c r="AA7" s="130"/>
      <c r="AB7" s="129"/>
    </row>
    <row r="8" spans="1:28" s="60" customFormat="1" ht="15.75" customHeight="1" x14ac:dyDescent="0.25">
      <c r="A8" s="57">
        <f t="shared" ref="A8:A33" si="0">IFERROR(Q8,"")</f>
        <v>661406</v>
      </c>
      <c r="B8" s="58" t="str">
        <f>Sheet1!H2&amp;" - "&amp;Sheet1!I2</f>
        <v>0,291666666666667 - 0,541666666666667</v>
      </c>
      <c r="C8" s="58">
        <f>IF(Sheet1!J2=0,"",Sheet1!J2)</f>
        <v>0.28402777777777777</v>
      </c>
      <c r="D8" s="58"/>
      <c r="E8" s="58"/>
      <c r="F8" s="58">
        <f>IF(Sheet1!K2=0,"",Sheet1!K2)</f>
        <v>0.57291666666666663</v>
      </c>
      <c r="G8" s="58"/>
      <c r="H8" s="58"/>
      <c r="I8" s="58"/>
      <c r="J8" s="58"/>
      <c r="K8" s="58">
        <f>IF(Sheet1!R2=0,"",Sheet1!R2)</f>
        <v>0.25</v>
      </c>
      <c r="L8" s="58">
        <f>IF(Sheet1!Z2=0,"",Sheet1!Z2)</f>
        <v>0.28888888888888892</v>
      </c>
      <c r="M8" s="58"/>
      <c r="N8" s="59" t="str">
        <f>IF(REG!K8=0,"",REG!K8)</f>
        <v/>
      </c>
      <c r="P8" s="61">
        <f>DATE(RIGHT(Sheet1!F2,4),MID(Sheet1!F2,4,2),LEFT(Sheet1!F2,2))</f>
        <v>661406</v>
      </c>
      <c r="Q8" s="62">
        <f>P8</f>
        <v>661406</v>
      </c>
      <c r="R8" s="60">
        <f>VALUE(Sheet1!L2)</f>
        <v>1</v>
      </c>
      <c r="S8" s="63" t="str">
        <f t="shared" ref="S8:S34" si="1">LEFT(K8,2)</f>
        <v>0,</v>
      </c>
      <c r="T8" s="64" t="str">
        <f t="shared" ref="T8:T34" si="2">RIGHT(K8,2)</f>
        <v>25</v>
      </c>
      <c r="U8" s="65">
        <f>IFERROR(VALUE(S8),"")</f>
        <v>0</v>
      </c>
      <c r="V8" s="58">
        <f>IFERROR(VALUE(T8),"")</f>
        <v>25</v>
      </c>
      <c r="W8" s="64">
        <f t="shared" ref="W8:W34" si="3">IFERROR(K8*24,"")</f>
        <v>6</v>
      </c>
      <c r="X8" s="63" t="str">
        <f t="shared" ref="X8:X34" si="4">LEFT(L8,2)</f>
        <v>0,</v>
      </c>
      <c r="Y8" s="66" t="str">
        <f t="shared" ref="Y8:Y34" si="5">RIGHT(L8,2)</f>
        <v>89</v>
      </c>
      <c r="Z8" s="63">
        <f>IFERROR(VALUE(X8),"")</f>
        <v>0</v>
      </c>
      <c r="AA8" s="58">
        <f>IFERROR(VALUE(Y8),"")</f>
        <v>89</v>
      </c>
      <c r="AB8" s="64">
        <f>IFERROR(L8*24,"")</f>
        <v>6.9333333333333336</v>
      </c>
    </row>
    <row r="9" spans="1:28" s="60" customFormat="1" ht="15.75" customHeight="1" x14ac:dyDescent="0.25">
      <c r="A9" s="57">
        <f t="shared" si="0"/>
        <v>661802</v>
      </c>
      <c r="B9" s="58" t="str">
        <f>Sheet1!H3&amp;" - "&amp;Sheet1!I3</f>
        <v>0,291666666666667 - 0,541666666666667</v>
      </c>
      <c r="C9" s="58">
        <f>IF(Sheet1!J3=0,"",Sheet1!J3)</f>
        <v>0.28055555555555556</v>
      </c>
      <c r="D9" s="58"/>
      <c r="E9" s="58"/>
      <c r="F9" s="58">
        <f>IF(Sheet1!K3=0,"",Sheet1!K3)</f>
        <v>0.61111111111111116</v>
      </c>
      <c r="G9" s="58"/>
      <c r="H9" s="58"/>
      <c r="I9" s="58"/>
      <c r="J9" s="58"/>
      <c r="K9" s="58">
        <f>IF(Sheet1!R3=0,"",Sheet1!R3)</f>
        <v>0.25</v>
      </c>
      <c r="L9" s="58">
        <f>IF(Sheet1!Z3=0,"",Sheet1!Z3)</f>
        <v>0.33055555555555555</v>
      </c>
      <c r="M9" s="58"/>
      <c r="N9" s="59" t="str">
        <f>IF(REG!K9=0,"",REG!K9)</f>
        <v/>
      </c>
      <c r="P9" s="61">
        <f>DATE(RIGHT(Sheet1!F3,4),MID(Sheet1!F3,4,2),LEFT(Sheet1!F3,2))</f>
        <v>661802</v>
      </c>
      <c r="Q9" s="62">
        <f t="shared" ref="Q9:Q34" si="6">P9</f>
        <v>661802</v>
      </c>
      <c r="R9" s="60">
        <f>VALUE(Sheet1!L3)</f>
        <v>1</v>
      </c>
      <c r="S9" s="63" t="str">
        <f t="shared" si="1"/>
        <v>0,</v>
      </c>
      <c r="T9" s="64" t="str">
        <f t="shared" si="2"/>
        <v>25</v>
      </c>
      <c r="U9" s="65">
        <f t="shared" ref="U9:V34" si="7">IFERROR(VALUE(S9),"")</f>
        <v>0</v>
      </c>
      <c r="V9" s="58">
        <f t="shared" si="7"/>
        <v>25</v>
      </c>
      <c r="W9" s="64">
        <f t="shared" si="3"/>
        <v>6</v>
      </c>
      <c r="X9" s="63" t="str">
        <f t="shared" si="4"/>
        <v>0,</v>
      </c>
      <c r="Y9" s="66" t="str">
        <f t="shared" si="5"/>
        <v>56</v>
      </c>
      <c r="Z9" s="63">
        <f t="shared" ref="Z9:AA34" si="8">IFERROR(VALUE(X9),"")</f>
        <v>0</v>
      </c>
      <c r="AA9" s="58">
        <f t="shared" si="8"/>
        <v>56</v>
      </c>
      <c r="AB9" s="64">
        <f t="shared" ref="AB9:AB34" si="9">IFERROR(L9*24,"")</f>
        <v>7.9333333333333336</v>
      </c>
    </row>
    <row r="10" spans="1:28" s="60" customFormat="1" ht="15.75" customHeight="1" x14ac:dyDescent="0.25">
      <c r="A10" s="57">
        <f t="shared" si="0"/>
        <v>662198</v>
      </c>
      <c r="B10" s="58" t="str">
        <f>Sheet1!H4&amp;" - "&amp;Sheet1!I4</f>
        <v>0,291666666666667 - 0,541666666666667</v>
      </c>
      <c r="C10" s="58">
        <f>IF(Sheet1!J4=0,"",Sheet1!J4)</f>
        <v>0.26319444444444445</v>
      </c>
      <c r="D10" s="58"/>
      <c r="E10" s="58"/>
      <c r="F10" s="58">
        <f>IF(Sheet1!K4=0,"",Sheet1!K4)</f>
        <v>0.56319444444444444</v>
      </c>
      <c r="G10" s="58"/>
      <c r="H10" s="58"/>
      <c r="I10" s="58"/>
      <c r="J10" s="58"/>
      <c r="K10" s="58">
        <f>IF(Sheet1!R4=0,"",Sheet1!R4)</f>
        <v>0.25</v>
      </c>
      <c r="L10" s="58">
        <f>IF(Sheet1!Z4=0,"",Sheet1!Z4)</f>
        <v>0.3</v>
      </c>
      <c r="M10" s="58"/>
      <c r="N10" s="59" t="str">
        <f>IF(REG!K10=0,"",REG!K10)</f>
        <v/>
      </c>
      <c r="P10" s="61">
        <f>DATE(RIGHT(Sheet1!F4,4),MID(Sheet1!F4,4,2),LEFT(Sheet1!F4,2))</f>
        <v>662198</v>
      </c>
      <c r="Q10" s="62">
        <f t="shared" si="6"/>
        <v>662198</v>
      </c>
      <c r="R10" s="60">
        <f>VALUE(Sheet1!L4)</f>
        <v>1</v>
      </c>
      <c r="S10" s="63" t="str">
        <f t="shared" si="1"/>
        <v>0,</v>
      </c>
      <c r="T10" s="64" t="str">
        <f t="shared" si="2"/>
        <v>25</v>
      </c>
      <c r="U10" s="65">
        <f t="shared" si="7"/>
        <v>0</v>
      </c>
      <c r="V10" s="58">
        <f t="shared" si="7"/>
        <v>25</v>
      </c>
      <c r="W10" s="64">
        <f t="shared" si="3"/>
        <v>6</v>
      </c>
      <c r="X10" s="63" t="str">
        <f t="shared" si="4"/>
        <v>0,</v>
      </c>
      <c r="Y10" s="66" t="str">
        <f t="shared" si="5"/>
        <v>,3</v>
      </c>
      <c r="Z10" s="63">
        <f t="shared" si="8"/>
        <v>0</v>
      </c>
      <c r="AA10" s="58">
        <f t="shared" si="8"/>
        <v>0.3</v>
      </c>
      <c r="AB10" s="64">
        <f t="shared" si="9"/>
        <v>7.1999999999999993</v>
      </c>
    </row>
    <row r="11" spans="1:28" s="60" customFormat="1" ht="15.75" customHeight="1" x14ac:dyDescent="0.25">
      <c r="A11" s="57">
        <f t="shared" si="0"/>
        <v>662594</v>
      </c>
      <c r="B11" s="58" t="str">
        <f>Sheet1!H5&amp;" - "&amp;Sheet1!I5</f>
        <v>0,291666666666667 - 0,541666666666667</v>
      </c>
      <c r="C11" s="58">
        <f>IF(Sheet1!J5=0,"",Sheet1!J5)</f>
        <v>0.27986111111111112</v>
      </c>
      <c r="D11" s="58"/>
      <c r="E11" s="58"/>
      <c r="F11" s="58">
        <f>IF(Sheet1!K5=0,"",Sheet1!K5)</f>
        <v>0.57430555555555551</v>
      </c>
      <c r="G11" s="58"/>
      <c r="H11" s="58"/>
      <c r="I11" s="58"/>
      <c r="J11" s="58"/>
      <c r="K11" s="58">
        <f>IF(Sheet1!R5=0,"",Sheet1!R5)</f>
        <v>0.25</v>
      </c>
      <c r="L11" s="58">
        <f>IF(Sheet1!Z5=0,"",Sheet1!Z5)</f>
        <v>0.2951388888888889</v>
      </c>
      <c r="M11" s="58"/>
      <c r="N11" s="59" t="str">
        <f>IF(REG!K11=0,"",REG!K11)</f>
        <v/>
      </c>
      <c r="P11" s="61">
        <f>DATE(RIGHT(Sheet1!F5,4),MID(Sheet1!F5,4,2),LEFT(Sheet1!F5,2))</f>
        <v>662594</v>
      </c>
      <c r="Q11" s="62">
        <f t="shared" si="6"/>
        <v>662594</v>
      </c>
      <c r="R11" s="60">
        <f>VALUE(Sheet1!L5)</f>
        <v>1</v>
      </c>
      <c r="S11" s="63" t="str">
        <f t="shared" si="1"/>
        <v>0,</v>
      </c>
      <c r="T11" s="64" t="str">
        <f t="shared" si="2"/>
        <v>25</v>
      </c>
      <c r="U11" s="65">
        <f t="shared" si="7"/>
        <v>0</v>
      </c>
      <c r="V11" s="58">
        <f t="shared" si="7"/>
        <v>25</v>
      </c>
      <c r="W11" s="64">
        <f t="shared" si="3"/>
        <v>6</v>
      </c>
      <c r="X11" s="63" t="str">
        <f t="shared" si="4"/>
        <v>0,</v>
      </c>
      <c r="Y11" s="66" t="str">
        <f t="shared" si="5"/>
        <v>89</v>
      </c>
      <c r="Z11" s="63">
        <f t="shared" si="8"/>
        <v>0</v>
      </c>
      <c r="AA11" s="58">
        <f t="shared" si="8"/>
        <v>89</v>
      </c>
      <c r="AB11" s="64">
        <f t="shared" si="9"/>
        <v>7.0833333333333339</v>
      </c>
    </row>
    <row r="12" spans="1:28" s="60" customFormat="1" ht="15.75" customHeight="1" x14ac:dyDescent="0.25">
      <c r="A12" s="57">
        <f t="shared" si="0"/>
        <v>662990</v>
      </c>
      <c r="B12" s="58" t="str">
        <f>Sheet1!H6&amp;" - "&amp;Sheet1!I6</f>
        <v>0,291666666666667 - 0,458333333333333</v>
      </c>
      <c r="C12" s="58">
        <f>IF(Sheet1!J6=0,"",Sheet1!J6)</f>
        <v>0.28055555555555556</v>
      </c>
      <c r="D12" s="58"/>
      <c r="E12" s="58"/>
      <c r="F12" s="58">
        <f>IF(Sheet1!K6=0,"",Sheet1!K6)</f>
        <v>0.46944444444444444</v>
      </c>
      <c r="G12" s="58"/>
      <c r="H12" s="58"/>
      <c r="I12" s="58"/>
      <c r="J12" s="58"/>
      <c r="K12" s="58">
        <f>IF(Sheet1!R6=0,"",Sheet1!R6)</f>
        <v>0.16666666666666666</v>
      </c>
      <c r="L12" s="58">
        <f>IF(Sheet1!Z6=0,"",Sheet1!Z6)</f>
        <v>0.18888888888888888</v>
      </c>
      <c r="M12" s="58"/>
      <c r="N12" s="59" t="str">
        <f>IF(REG!K12=0,"",REG!K12)</f>
        <v/>
      </c>
      <c r="P12" s="61">
        <f>DATE(RIGHT(Sheet1!F6,4),MID(Sheet1!F6,4,2),LEFT(Sheet1!F6,2))</f>
        <v>662990</v>
      </c>
      <c r="Q12" s="62">
        <f t="shared" si="6"/>
        <v>662990</v>
      </c>
      <c r="R12" s="60">
        <f>VALUE(Sheet1!L6)</f>
        <v>1</v>
      </c>
      <c r="S12" s="63" t="str">
        <f t="shared" si="1"/>
        <v>0,</v>
      </c>
      <c r="T12" s="64" t="str">
        <f t="shared" si="2"/>
        <v>67</v>
      </c>
      <c r="U12" s="65">
        <f t="shared" si="7"/>
        <v>0</v>
      </c>
      <c r="V12" s="58">
        <f t="shared" si="7"/>
        <v>67</v>
      </c>
      <c r="W12" s="64">
        <f t="shared" si="3"/>
        <v>4</v>
      </c>
      <c r="X12" s="63" t="str">
        <f t="shared" si="4"/>
        <v>0,</v>
      </c>
      <c r="Y12" s="66" t="str">
        <f t="shared" si="5"/>
        <v>89</v>
      </c>
      <c r="Z12" s="63">
        <f t="shared" si="8"/>
        <v>0</v>
      </c>
      <c r="AA12" s="58">
        <f t="shared" si="8"/>
        <v>89</v>
      </c>
      <c r="AB12" s="64">
        <f t="shared" si="9"/>
        <v>4.5333333333333332</v>
      </c>
    </row>
    <row r="13" spans="1:28" s="60" customFormat="1" ht="15.75" customHeight="1" x14ac:dyDescent="0.25">
      <c r="A13" s="57">
        <f t="shared" si="0"/>
        <v>663384</v>
      </c>
      <c r="B13" s="58" t="str">
        <f>Sheet1!H7&amp;" - "&amp;Sheet1!I7</f>
        <v>0,291666666666667 - 0,5</v>
      </c>
      <c r="C13" s="58">
        <f>IF(Sheet1!J7=0,"",Sheet1!J7)</f>
        <v>0.28333333333333333</v>
      </c>
      <c r="D13" s="58"/>
      <c r="E13" s="58"/>
      <c r="F13" s="58">
        <f>IF(Sheet1!K7=0,"",Sheet1!K7)</f>
        <v>0.52013888888888893</v>
      </c>
      <c r="G13" s="58"/>
      <c r="H13" s="58"/>
      <c r="I13" s="58"/>
      <c r="J13" s="58"/>
      <c r="K13" s="58">
        <f>IF(Sheet1!R7=0,"",Sheet1!R7)</f>
        <v>0.20833333333333334</v>
      </c>
      <c r="L13" s="58">
        <f>IF(Sheet1!Z7=0,"",Sheet1!Z7)</f>
        <v>0.23611111111111113</v>
      </c>
      <c r="M13" s="58"/>
      <c r="N13" s="59" t="str">
        <f>IF(REG!K13=0,"",REG!K13)</f>
        <v/>
      </c>
      <c r="P13" s="61">
        <f>DATE(RIGHT(Sheet1!F7,4),MID(Sheet1!F7,4,2),LEFT(Sheet1!F7,2))</f>
        <v>663384</v>
      </c>
      <c r="Q13" s="62">
        <f t="shared" si="6"/>
        <v>663384</v>
      </c>
      <c r="R13" s="60">
        <f>VALUE(Sheet1!L7)</f>
        <v>1</v>
      </c>
      <c r="S13" s="63" t="str">
        <f t="shared" si="1"/>
        <v>0,</v>
      </c>
      <c r="T13" s="64" t="str">
        <f t="shared" si="2"/>
        <v>33</v>
      </c>
      <c r="U13" s="65">
        <f t="shared" si="7"/>
        <v>0</v>
      </c>
      <c r="V13" s="58">
        <f t="shared" si="7"/>
        <v>33</v>
      </c>
      <c r="W13" s="64">
        <f t="shared" si="3"/>
        <v>5</v>
      </c>
      <c r="X13" s="63" t="str">
        <f t="shared" si="4"/>
        <v>0,</v>
      </c>
      <c r="Y13" s="66" t="str">
        <f t="shared" si="5"/>
        <v>11</v>
      </c>
      <c r="Z13" s="63">
        <f t="shared" si="8"/>
        <v>0</v>
      </c>
      <c r="AA13" s="58">
        <f t="shared" si="8"/>
        <v>11</v>
      </c>
      <c r="AB13" s="64">
        <f t="shared" si="9"/>
        <v>5.666666666666667</v>
      </c>
    </row>
    <row r="14" spans="1:28" s="60" customFormat="1" ht="15.75" customHeight="1" x14ac:dyDescent="0.25">
      <c r="A14" s="57">
        <f t="shared" si="0"/>
        <v>664175</v>
      </c>
      <c r="B14" s="58" t="str">
        <f>Sheet1!H8&amp;" - "&amp;Sheet1!I8</f>
        <v>0,291666666666667 - 0,541666666666667</v>
      </c>
      <c r="C14" s="58">
        <f>IF(Sheet1!J8=0,"",Sheet1!J8)</f>
        <v>0.27361111111111108</v>
      </c>
      <c r="D14" s="58"/>
      <c r="E14" s="58"/>
      <c r="F14" s="58">
        <f>IF(Sheet1!K8=0,"",Sheet1!K8)</f>
        <v>0.56944444444444442</v>
      </c>
      <c r="G14" s="58"/>
      <c r="H14" s="58"/>
      <c r="I14" s="58"/>
      <c r="J14" s="58"/>
      <c r="K14" s="58">
        <f>IF(Sheet1!R8=0,"",Sheet1!R8)</f>
        <v>0.25</v>
      </c>
      <c r="L14" s="58">
        <f>IF(Sheet1!Z8=0,"",Sheet1!Z8)</f>
        <v>0.29583333333333334</v>
      </c>
      <c r="M14" s="58"/>
      <c r="N14" s="59" t="str">
        <f>IF(REG!K14=0,"",REG!K14)</f>
        <v/>
      </c>
      <c r="P14" s="61">
        <f>DATE(RIGHT(Sheet1!F8,4),MID(Sheet1!F8,4,2),LEFT(Sheet1!F8,2))</f>
        <v>664175</v>
      </c>
      <c r="Q14" s="62">
        <f t="shared" si="6"/>
        <v>664175</v>
      </c>
      <c r="R14" s="60">
        <f>VALUE(Sheet1!L8)</f>
        <v>1</v>
      </c>
      <c r="S14" s="63" t="str">
        <f t="shared" si="1"/>
        <v>0,</v>
      </c>
      <c r="T14" s="64" t="str">
        <f t="shared" si="2"/>
        <v>25</v>
      </c>
      <c r="U14" s="65">
        <f t="shared" si="7"/>
        <v>0</v>
      </c>
      <c r="V14" s="58">
        <f t="shared" si="7"/>
        <v>25</v>
      </c>
      <c r="W14" s="64">
        <f t="shared" si="3"/>
        <v>6</v>
      </c>
      <c r="X14" s="63" t="str">
        <f t="shared" si="4"/>
        <v>0,</v>
      </c>
      <c r="Y14" s="66" t="str">
        <f t="shared" si="5"/>
        <v>33</v>
      </c>
      <c r="Z14" s="63">
        <f t="shared" si="8"/>
        <v>0</v>
      </c>
      <c r="AA14" s="58">
        <f t="shared" si="8"/>
        <v>33</v>
      </c>
      <c r="AB14" s="64">
        <f t="shared" si="9"/>
        <v>7.1</v>
      </c>
    </row>
    <row r="15" spans="1:28" s="60" customFormat="1" ht="15.75" customHeight="1" x14ac:dyDescent="0.25">
      <c r="A15" s="57">
        <f t="shared" si="0"/>
        <v>664571</v>
      </c>
      <c r="B15" s="58" t="str">
        <f>Sheet1!H9&amp;" - "&amp;Sheet1!I9</f>
        <v>0,291666666666667 - 0,541666666666667</v>
      </c>
      <c r="C15" s="58">
        <f>IF(Sheet1!J9=0,"",Sheet1!J9)</f>
        <v>0.28055555555555556</v>
      </c>
      <c r="D15" s="58"/>
      <c r="E15" s="58"/>
      <c r="F15" s="58">
        <f>IF(Sheet1!K9=0,"",Sheet1!K9)</f>
        <v>0.58124999999999993</v>
      </c>
      <c r="G15" s="58"/>
      <c r="H15" s="58"/>
      <c r="I15" s="58"/>
      <c r="J15" s="58"/>
      <c r="K15" s="58">
        <f>IF(Sheet1!R9=0,"",Sheet1!R9)</f>
        <v>0.25</v>
      </c>
      <c r="L15" s="58">
        <f>IF(Sheet1!Z9=0,"",Sheet1!Z9)</f>
        <v>0.30138888888888887</v>
      </c>
      <c r="M15" s="58"/>
      <c r="N15" s="59" t="str">
        <f>IF(REG!K15=0,"",REG!K15)</f>
        <v/>
      </c>
      <c r="P15" s="61">
        <f>DATE(RIGHT(Sheet1!F9,4),MID(Sheet1!F9,4,2),LEFT(Sheet1!F9,2))</f>
        <v>664571</v>
      </c>
      <c r="Q15" s="62">
        <f t="shared" si="6"/>
        <v>664571</v>
      </c>
      <c r="R15" s="60">
        <f>VALUE(Sheet1!L9)</f>
        <v>1</v>
      </c>
      <c r="S15" s="63" t="str">
        <f t="shared" si="1"/>
        <v>0,</v>
      </c>
      <c r="T15" s="64" t="str">
        <f t="shared" si="2"/>
        <v>25</v>
      </c>
      <c r="U15" s="65">
        <f t="shared" si="7"/>
        <v>0</v>
      </c>
      <c r="V15" s="58">
        <f t="shared" si="7"/>
        <v>25</v>
      </c>
      <c r="W15" s="64">
        <f t="shared" si="3"/>
        <v>6</v>
      </c>
      <c r="X15" s="63" t="str">
        <f t="shared" si="4"/>
        <v>0,</v>
      </c>
      <c r="Y15" s="66" t="str">
        <f t="shared" si="5"/>
        <v>89</v>
      </c>
      <c r="Z15" s="63">
        <f t="shared" si="8"/>
        <v>0</v>
      </c>
      <c r="AA15" s="58">
        <f t="shared" si="8"/>
        <v>89</v>
      </c>
      <c r="AB15" s="64">
        <f t="shared" si="9"/>
        <v>7.2333333333333325</v>
      </c>
    </row>
    <row r="16" spans="1:28" s="60" customFormat="1" ht="15.75" customHeight="1" x14ac:dyDescent="0.25">
      <c r="A16" s="57">
        <f t="shared" si="0"/>
        <v>664967</v>
      </c>
      <c r="B16" s="58" t="str">
        <f>Sheet1!H10&amp;" - "&amp;Sheet1!I10</f>
        <v>0,291666666666667 - 0,541666666666667</v>
      </c>
      <c r="C16" s="58">
        <f>IF(Sheet1!J10=0,"",Sheet1!J10)</f>
        <v>0.27499999999999997</v>
      </c>
      <c r="D16" s="58"/>
      <c r="E16" s="58"/>
      <c r="F16" s="58">
        <f>IF(Sheet1!K10=0,"",Sheet1!K10)</f>
        <v>0.59444444444444444</v>
      </c>
      <c r="G16" s="58"/>
      <c r="H16" s="58"/>
      <c r="I16" s="58"/>
      <c r="J16" s="58"/>
      <c r="K16" s="58">
        <f>IF(Sheet1!R10=0,"",Sheet1!R10)</f>
        <v>0.25</v>
      </c>
      <c r="L16" s="58">
        <f>IF(Sheet1!Z10=0,"",Sheet1!Z10)</f>
        <v>0.31805555555555554</v>
      </c>
      <c r="M16" s="58"/>
      <c r="N16" s="59" t="str">
        <f>IF(REG!K16=0,"",REG!K16)</f>
        <v/>
      </c>
      <c r="P16" s="61">
        <f>DATE(RIGHT(Sheet1!F10,4),MID(Sheet1!F10,4,2),LEFT(Sheet1!F10,2))</f>
        <v>664967</v>
      </c>
      <c r="Q16" s="62">
        <f t="shared" si="6"/>
        <v>664967</v>
      </c>
      <c r="R16" s="60">
        <f>VALUE(Sheet1!L10)</f>
        <v>1</v>
      </c>
      <c r="S16" s="63" t="str">
        <f t="shared" si="1"/>
        <v>0,</v>
      </c>
      <c r="T16" s="64" t="str">
        <f t="shared" si="2"/>
        <v>25</v>
      </c>
      <c r="U16" s="65">
        <f t="shared" si="7"/>
        <v>0</v>
      </c>
      <c r="V16" s="58">
        <f t="shared" si="7"/>
        <v>25</v>
      </c>
      <c r="W16" s="64">
        <f t="shared" si="3"/>
        <v>6</v>
      </c>
      <c r="X16" s="63" t="str">
        <f t="shared" si="4"/>
        <v>0,</v>
      </c>
      <c r="Y16" s="66" t="str">
        <f t="shared" si="5"/>
        <v>56</v>
      </c>
      <c r="Z16" s="63">
        <f t="shared" si="8"/>
        <v>0</v>
      </c>
      <c r="AA16" s="58">
        <f t="shared" si="8"/>
        <v>56</v>
      </c>
      <c r="AB16" s="64">
        <f t="shared" si="9"/>
        <v>7.6333333333333329</v>
      </c>
    </row>
    <row r="17" spans="1:28" s="60" customFormat="1" ht="15.75" customHeight="1" x14ac:dyDescent="0.25">
      <c r="A17" s="57">
        <f t="shared" si="0"/>
        <v>665363</v>
      </c>
      <c r="B17" s="58" t="str">
        <f>Sheet1!H11&amp;" - "&amp;Sheet1!I11</f>
        <v>0,291666666666667 - 0,541666666666667</v>
      </c>
      <c r="C17" s="58">
        <f>IF(Sheet1!J11=0,"",Sheet1!J11)</f>
        <v>0.28402777777777777</v>
      </c>
      <c r="D17" s="58"/>
      <c r="E17" s="58"/>
      <c r="F17" s="58">
        <f>IF(Sheet1!K11=0,"",Sheet1!K11)</f>
        <v>0.56180555555555556</v>
      </c>
      <c r="G17" s="58"/>
      <c r="H17" s="58"/>
      <c r="I17" s="58"/>
      <c r="J17" s="58"/>
      <c r="K17" s="58">
        <f>IF(Sheet1!R11=0,"",Sheet1!R11)</f>
        <v>0.25</v>
      </c>
      <c r="L17" s="58">
        <f>IF(Sheet1!Z11=0,"",Sheet1!Z11)</f>
        <v>0.27708333333333335</v>
      </c>
      <c r="M17" s="58"/>
      <c r="N17" s="59" t="str">
        <f>IF(REG!K17=0,"",REG!K17)</f>
        <v/>
      </c>
      <c r="P17" s="61">
        <f>DATE(RIGHT(Sheet1!F11,4),MID(Sheet1!F11,4,2),LEFT(Sheet1!F11,2))</f>
        <v>665363</v>
      </c>
      <c r="Q17" s="62">
        <f t="shared" si="6"/>
        <v>665363</v>
      </c>
      <c r="R17" s="60">
        <f>VALUE(Sheet1!L11)</f>
        <v>1</v>
      </c>
      <c r="S17" s="63" t="str">
        <f t="shared" si="1"/>
        <v>0,</v>
      </c>
      <c r="T17" s="64" t="str">
        <f t="shared" si="2"/>
        <v>25</v>
      </c>
      <c r="U17" s="65">
        <f t="shared" si="7"/>
        <v>0</v>
      </c>
      <c r="V17" s="58">
        <f t="shared" si="7"/>
        <v>25</v>
      </c>
      <c r="W17" s="64">
        <f t="shared" si="3"/>
        <v>6</v>
      </c>
      <c r="X17" s="63" t="str">
        <f t="shared" si="4"/>
        <v>0,</v>
      </c>
      <c r="Y17" s="66" t="str">
        <f t="shared" si="5"/>
        <v>33</v>
      </c>
      <c r="Z17" s="63">
        <f t="shared" si="8"/>
        <v>0</v>
      </c>
      <c r="AA17" s="58">
        <f t="shared" si="8"/>
        <v>33</v>
      </c>
      <c r="AB17" s="64">
        <f t="shared" si="9"/>
        <v>6.65</v>
      </c>
    </row>
    <row r="18" spans="1:28" s="60" customFormat="1" ht="15.75" customHeight="1" x14ac:dyDescent="0.25">
      <c r="A18" s="57">
        <f t="shared" si="0"/>
        <v>665759</v>
      </c>
      <c r="B18" s="58" t="str">
        <f>Sheet1!H12&amp;" - "&amp;Sheet1!I12</f>
        <v>0,291666666666667 - 0,458333333333333</v>
      </c>
      <c r="C18" s="58">
        <f>IF(Sheet1!J12=0,"",Sheet1!J12)</f>
        <v>0.28125</v>
      </c>
      <c r="D18" s="58"/>
      <c r="E18" s="58"/>
      <c r="F18" s="58">
        <f>IF(Sheet1!K12=0,"",Sheet1!K12)</f>
        <v>0.46111111111111108</v>
      </c>
      <c r="G18" s="58"/>
      <c r="H18" s="58"/>
      <c r="I18" s="58"/>
      <c r="J18" s="58"/>
      <c r="K18" s="58">
        <f>IF(Sheet1!R12=0,"",Sheet1!R12)</f>
        <v>0.16666666666666666</v>
      </c>
      <c r="L18" s="58">
        <f>IF(Sheet1!Z12=0,"",Sheet1!Z12)</f>
        <v>0.18055555555555555</v>
      </c>
      <c r="M18" s="58"/>
      <c r="N18" s="59" t="str">
        <f>IF(REG!K18=0,"",REG!K18)</f>
        <v/>
      </c>
      <c r="P18" s="61">
        <f>DATE(RIGHT(Sheet1!F12,4),MID(Sheet1!F12,4,2),LEFT(Sheet1!F12,2))</f>
        <v>665759</v>
      </c>
      <c r="Q18" s="62">
        <f t="shared" si="6"/>
        <v>665759</v>
      </c>
      <c r="R18" s="60">
        <f>VALUE(Sheet1!L12)</f>
        <v>1</v>
      </c>
      <c r="S18" s="63" t="str">
        <f t="shared" si="1"/>
        <v>0,</v>
      </c>
      <c r="T18" s="64" t="str">
        <f t="shared" si="2"/>
        <v>67</v>
      </c>
      <c r="U18" s="65">
        <f t="shared" si="7"/>
        <v>0</v>
      </c>
      <c r="V18" s="58">
        <f t="shared" si="7"/>
        <v>67</v>
      </c>
      <c r="W18" s="64">
        <f t="shared" si="3"/>
        <v>4</v>
      </c>
      <c r="X18" s="63" t="str">
        <f t="shared" si="4"/>
        <v>0,</v>
      </c>
      <c r="Y18" s="66" t="str">
        <f t="shared" si="5"/>
        <v>56</v>
      </c>
      <c r="Z18" s="63">
        <f t="shared" si="8"/>
        <v>0</v>
      </c>
      <c r="AA18" s="58">
        <f t="shared" si="8"/>
        <v>56</v>
      </c>
      <c r="AB18" s="64">
        <f t="shared" si="9"/>
        <v>4.333333333333333</v>
      </c>
    </row>
    <row r="19" spans="1:28" s="60" customFormat="1" ht="15.75" customHeight="1" x14ac:dyDescent="0.25">
      <c r="A19" s="57">
        <f t="shared" si="0"/>
        <v>666154</v>
      </c>
      <c r="B19" s="58" t="str">
        <f>Sheet1!H13&amp;" - "&amp;Sheet1!I13</f>
        <v>0,291666666666667 - 0,5</v>
      </c>
      <c r="C19" s="58">
        <f>IF(Sheet1!J13=0,"",Sheet1!J13)</f>
        <v>0.28611111111111109</v>
      </c>
      <c r="D19" s="58"/>
      <c r="E19" s="58"/>
      <c r="F19" s="58">
        <f>IF(Sheet1!K13=0,"",Sheet1!K13)</f>
        <v>0.54722222222222228</v>
      </c>
      <c r="G19" s="58"/>
      <c r="H19" s="58"/>
      <c r="I19" s="58"/>
      <c r="J19" s="58"/>
      <c r="K19" s="58">
        <f>IF(Sheet1!R13=0,"",Sheet1!R13)</f>
        <v>0.20833333333333334</v>
      </c>
      <c r="L19" s="58">
        <f>IF(Sheet1!Z13=0,"",Sheet1!Z13)</f>
        <v>0.26180555555555557</v>
      </c>
      <c r="M19" s="58"/>
      <c r="N19" s="59" t="str">
        <f>IF(REG!K19=0,"",REG!K19)</f>
        <v/>
      </c>
      <c r="P19" s="61">
        <f>DATE(RIGHT(Sheet1!F13,4),MID(Sheet1!F13,4,2),LEFT(Sheet1!F13,2))</f>
        <v>666154</v>
      </c>
      <c r="Q19" s="62">
        <f t="shared" si="6"/>
        <v>666154</v>
      </c>
      <c r="R19" s="60">
        <f>VALUE(Sheet1!L13)</f>
        <v>1</v>
      </c>
      <c r="S19" s="63" t="str">
        <f t="shared" si="1"/>
        <v>0,</v>
      </c>
      <c r="T19" s="64" t="str">
        <f t="shared" si="2"/>
        <v>33</v>
      </c>
      <c r="U19" s="65">
        <f t="shared" si="7"/>
        <v>0</v>
      </c>
      <c r="V19" s="58">
        <f t="shared" si="7"/>
        <v>33</v>
      </c>
      <c r="W19" s="64">
        <f t="shared" si="3"/>
        <v>5</v>
      </c>
      <c r="X19" s="63" t="str">
        <f t="shared" si="4"/>
        <v>0,</v>
      </c>
      <c r="Y19" s="66" t="str">
        <f t="shared" si="5"/>
        <v>56</v>
      </c>
      <c r="Z19" s="63">
        <f t="shared" si="8"/>
        <v>0</v>
      </c>
      <c r="AA19" s="58">
        <f t="shared" si="8"/>
        <v>56</v>
      </c>
      <c r="AB19" s="64">
        <f t="shared" si="9"/>
        <v>6.2833333333333332</v>
      </c>
    </row>
    <row r="20" spans="1:28" s="60" customFormat="1" ht="15.75" customHeight="1" x14ac:dyDescent="0.25">
      <c r="A20" s="57">
        <f t="shared" si="0"/>
        <v>666946</v>
      </c>
      <c r="B20" s="58" t="str">
        <f>Sheet1!H14&amp;" - "&amp;Sheet1!I14</f>
        <v>0,291666666666667 - 0,541666666666667</v>
      </c>
      <c r="C20" s="58">
        <f>IF(Sheet1!J14=0,"",Sheet1!J14)</f>
        <v>0.28055555555555556</v>
      </c>
      <c r="D20" s="58"/>
      <c r="E20" s="58"/>
      <c r="F20" s="58">
        <f>IF(Sheet1!K14=0,"",Sheet1!K14)</f>
        <v>0.56180555555555556</v>
      </c>
      <c r="G20" s="58"/>
      <c r="H20" s="58"/>
      <c r="I20" s="58"/>
      <c r="J20" s="58"/>
      <c r="K20" s="58">
        <f>IF(Sheet1!R14=0,"",Sheet1!R14)</f>
        <v>0.25</v>
      </c>
      <c r="L20" s="58">
        <f>IF(Sheet1!Z14=0,"",Sheet1!Z14)</f>
        <v>0.28125</v>
      </c>
      <c r="M20" s="58"/>
      <c r="N20" s="59" t="str">
        <f>IF(REG!K20=0,"",REG!K20)</f>
        <v/>
      </c>
      <c r="P20" s="61">
        <f>DATE(RIGHT(Sheet1!F14,4),MID(Sheet1!F14,4,2),LEFT(Sheet1!F14,2))</f>
        <v>666946</v>
      </c>
      <c r="Q20" s="62">
        <f t="shared" si="6"/>
        <v>666946</v>
      </c>
      <c r="R20" s="60">
        <f>VALUE(Sheet1!L14)</f>
        <v>1</v>
      </c>
      <c r="S20" s="63" t="str">
        <f t="shared" si="1"/>
        <v>0,</v>
      </c>
      <c r="T20" s="64" t="str">
        <f t="shared" si="2"/>
        <v>25</v>
      </c>
      <c r="U20" s="65">
        <f t="shared" si="7"/>
        <v>0</v>
      </c>
      <c r="V20" s="58">
        <f t="shared" si="7"/>
        <v>25</v>
      </c>
      <c r="W20" s="64">
        <f t="shared" si="3"/>
        <v>6</v>
      </c>
      <c r="X20" s="63" t="str">
        <f t="shared" si="4"/>
        <v>0,</v>
      </c>
      <c r="Y20" s="66" t="str">
        <f t="shared" si="5"/>
        <v>25</v>
      </c>
      <c r="Z20" s="63">
        <f t="shared" si="8"/>
        <v>0</v>
      </c>
      <c r="AA20" s="58">
        <f t="shared" si="8"/>
        <v>25</v>
      </c>
      <c r="AB20" s="64">
        <f t="shared" si="9"/>
        <v>6.75</v>
      </c>
    </row>
    <row r="21" spans="1:28" s="60" customFormat="1" ht="15.75" customHeight="1" x14ac:dyDescent="0.25">
      <c r="A21" s="57">
        <f t="shared" si="0"/>
        <v>667342</v>
      </c>
      <c r="B21" s="58" t="str">
        <f>Sheet1!H15&amp;" - "&amp;Sheet1!I15</f>
        <v>0,291666666666667 - 0,541666666666667</v>
      </c>
      <c r="C21" s="58">
        <f>IF(Sheet1!J15=0,"",Sheet1!J15)</f>
        <v>0.28263888888888888</v>
      </c>
      <c r="D21" s="58"/>
      <c r="E21" s="58"/>
      <c r="F21" s="58">
        <f>IF(Sheet1!K15=0,"",Sheet1!K15)</f>
        <v>0.57430555555555551</v>
      </c>
      <c r="G21" s="58"/>
      <c r="H21" s="58"/>
      <c r="I21" s="58"/>
      <c r="J21" s="58"/>
      <c r="K21" s="58">
        <f>IF(Sheet1!R15=0,"",Sheet1!R15)</f>
        <v>0.25</v>
      </c>
      <c r="L21" s="58">
        <f>IF(Sheet1!Z15=0,"",Sheet1!Z15)</f>
        <v>0.29166666666666669</v>
      </c>
      <c r="M21" s="58"/>
      <c r="N21" s="59" t="str">
        <f>IF(REG!K21=0,"",REG!K21)</f>
        <v/>
      </c>
      <c r="P21" s="61">
        <f>DATE(RIGHT(Sheet1!F15,4),MID(Sheet1!F15,4,2),LEFT(Sheet1!F15,2))</f>
        <v>667342</v>
      </c>
      <c r="Q21" s="62">
        <f t="shared" si="6"/>
        <v>667342</v>
      </c>
      <c r="R21" s="60">
        <f>VALUE(Sheet1!L15)</f>
        <v>1</v>
      </c>
      <c r="S21" s="63" t="str">
        <f t="shared" si="1"/>
        <v>0,</v>
      </c>
      <c r="T21" s="64" t="str">
        <f t="shared" si="2"/>
        <v>25</v>
      </c>
      <c r="U21" s="65">
        <f t="shared" si="7"/>
        <v>0</v>
      </c>
      <c r="V21" s="58">
        <f t="shared" si="7"/>
        <v>25</v>
      </c>
      <c r="W21" s="64">
        <f t="shared" si="3"/>
        <v>6</v>
      </c>
      <c r="X21" s="63" t="str">
        <f t="shared" si="4"/>
        <v>0,</v>
      </c>
      <c r="Y21" s="66" t="str">
        <f t="shared" si="5"/>
        <v>67</v>
      </c>
      <c r="Z21" s="63">
        <f t="shared" si="8"/>
        <v>0</v>
      </c>
      <c r="AA21" s="58">
        <f t="shared" si="8"/>
        <v>67</v>
      </c>
      <c r="AB21" s="64">
        <f t="shared" si="9"/>
        <v>7</v>
      </c>
    </row>
    <row r="22" spans="1:28" s="60" customFormat="1" ht="15.75" customHeight="1" x14ac:dyDescent="0.25">
      <c r="A22" s="57">
        <f t="shared" si="0"/>
        <v>667738</v>
      </c>
      <c r="B22" s="58" t="str">
        <f>Sheet1!H16&amp;" - "&amp;Sheet1!I16</f>
        <v>0,291666666666667 - 0,541666666666667</v>
      </c>
      <c r="C22" s="58">
        <f>IF(Sheet1!J16=0,"",Sheet1!J16)</f>
        <v>0.27152777777777776</v>
      </c>
      <c r="D22" s="58"/>
      <c r="E22" s="58"/>
      <c r="F22" s="58">
        <f>IF(Sheet1!K16=0,"",Sheet1!K16)</f>
        <v>0.57152777777777775</v>
      </c>
      <c r="G22" s="58"/>
      <c r="H22" s="58"/>
      <c r="I22" s="58"/>
      <c r="J22" s="58"/>
      <c r="K22" s="58">
        <f>IF(Sheet1!R16=0,"",Sheet1!R16)</f>
        <v>0.25</v>
      </c>
      <c r="L22" s="58">
        <f>IF(Sheet1!Z16=0,"",Sheet1!Z16)</f>
        <v>0.3</v>
      </c>
      <c r="M22" s="58"/>
      <c r="N22" s="59" t="str">
        <f>IF(REG!K22=0,"",REG!K22)</f>
        <v/>
      </c>
      <c r="P22" s="61">
        <f>DATE(RIGHT(Sheet1!F16,4),MID(Sheet1!F16,4,2),LEFT(Sheet1!F16,2))</f>
        <v>667738</v>
      </c>
      <c r="Q22" s="62">
        <f t="shared" si="6"/>
        <v>667738</v>
      </c>
      <c r="R22" s="60">
        <f>VALUE(Sheet1!L16)</f>
        <v>1</v>
      </c>
      <c r="S22" s="63" t="str">
        <f t="shared" si="1"/>
        <v>0,</v>
      </c>
      <c r="T22" s="64" t="str">
        <f t="shared" si="2"/>
        <v>25</v>
      </c>
      <c r="U22" s="65">
        <f t="shared" si="7"/>
        <v>0</v>
      </c>
      <c r="V22" s="58">
        <f t="shared" si="7"/>
        <v>25</v>
      </c>
      <c r="W22" s="64">
        <f t="shared" si="3"/>
        <v>6</v>
      </c>
      <c r="X22" s="63" t="str">
        <f t="shared" si="4"/>
        <v>0,</v>
      </c>
      <c r="Y22" s="66" t="str">
        <f t="shared" si="5"/>
        <v>,3</v>
      </c>
      <c r="Z22" s="63">
        <f t="shared" si="8"/>
        <v>0</v>
      </c>
      <c r="AA22" s="58">
        <f t="shared" si="8"/>
        <v>0.3</v>
      </c>
      <c r="AB22" s="64">
        <f t="shared" si="9"/>
        <v>7.1999999999999993</v>
      </c>
    </row>
    <row r="23" spans="1:28" s="60" customFormat="1" ht="15.75" customHeight="1" x14ac:dyDescent="0.25">
      <c r="A23" s="57">
        <f t="shared" si="0"/>
        <v>668132</v>
      </c>
      <c r="B23" s="58" t="str">
        <f>Sheet1!H17&amp;" - "&amp;Sheet1!I17</f>
        <v>0,291666666666667 - 0,541666666666667</v>
      </c>
      <c r="C23" s="58">
        <f>IF(Sheet1!J17=0,"",Sheet1!J17)</f>
        <v>0.28333333333333333</v>
      </c>
      <c r="D23" s="58"/>
      <c r="E23" s="58"/>
      <c r="F23" s="58">
        <f>IF(Sheet1!K17=0,"",Sheet1!K17)</f>
        <v>0.54374999999999996</v>
      </c>
      <c r="G23" s="58"/>
      <c r="H23" s="58"/>
      <c r="I23" s="58"/>
      <c r="J23" s="58"/>
      <c r="K23" s="58">
        <f>IF(Sheet1!R17=0,"",Sheet1!R17)</f>
        <v>0.20833333333333334</v>
      </c>
      <c r="L23" s="58">
        <f>IF(Sheet1!Z17=0,"",Sheet1!Z17)</f>
        <v>0.21805555555555556</v>
      </c>
      <c r="M23" s="58"/>
      <c r="N23" s="59" t="str">
        <f>IF(REG!K23=0,"",REG!K23)</f>
        <v/>
      </c>
      <c r="P23" s="61">
        <f>DATE(RIGHT(Sheet1!F17,4),MID(Sheet1!F17,4,2),LEFT(Sheet1!F17,2))</f>
        <v>668132</v>
      </c>
      <c r="Q23" s="62">
        <f t="shared" si="6"/>
        <v>668132</v>
      </c>
      <c r="R23" s="60">
        <f>VALUE(Sheet1!L17)</f>
        <v>1</v>
      </c>
      <c r="S23" s="63" t="str">
        <f t="shared" si="1"/>
        <v>0,</v>
      </c>
      <c r="T23" s="64" t="str">
        <f t="shared" si="2"/>
        <v>33</v>
      </c>
      <c r="U23" s="65">
        <f t="shared" si="7"/>
        <v>0</v>
      </c>
      <c r="V23" s="58">
        <f t="shared" si="7"/>
        <v>33</v>
      </c>
      <c r="W23" s="64">
        <f t="shared" si="3"/>
        <v>5</v>
      </c>
      <c r="X23" s="63" t="str">
        <f t="shared" si="4"/>
        <v>0,</v>
      </c>
      <c r="Y23" s="66" t="str">
        <f t="shared" si="5"/>
        <v>56</v>
      </c>
      <c r="Z23" s="63">
        <f t="shared" si="8"/>
        <v>0</v>
      </c>
      <c r="AA23" s="58">
        <f t="shared" si="8"/>
        <v>56</v>
      </c>
      <c r="AB23" s="64">
        <f t="shared" si="9"/>
        <v>5.2333333333333334</v>
      </c>
    </row>
    <row r="24" spans="1:28" s="60" customFormat="1" ht="15.75" customHeight="1" x14ac:dyDescent="0.25">
      <c r="A24" s="57">
        <f t="shared" si="0"/>
        <v>668528</v>
      </c>
      <c r="B24" s="58" t="str">
        <f>Sheet1!H18&amp;" - "&amp;Sheet1!I18</f>
        <v>0,291666666666667 - 0,458333333333333</v>
      </c>
      <c r="C24" s="58">
        <f>IF(Sheet1!J18=0,"",Sheet1!J18)</f>
        <v>0.28541666666666665</v>
      </c>
      <c r="D24" s="58"/>
      <c r="E24" s="58"/>
      <c r="F24" s="58">
        <f>IF(Sheet1!K18=0,"",Sheet1!K18)</f>
        <v>0.46111111111111114</v>
      </c>
      <c r="G24" s="58"/>
      <c r="H24" s="58"/>
      <c r="I24" s="58"/>
      <c r="J24" s="58"/>
      <c r="K24" s="58">
        <f>IF(Sheet1!R18=0,"",Sheet1!R18)</f>
        <v>0.16666666666666666</v>
      </c>
      <c r="L24" s="58">
        <f>IF(Sheet1!Z18=0,"",Sheet1!Z18)</f>
        <v>0.17569444444444446</v>
      </c>
      <c r="M24" s="58"/>
      <c r="N24" s="59" t="str">
        <f>IF(REG!K24=0,"",REG!K24)</f>
        <v/>
      </c>
      <c r="P24" s="61">
        <f>DATE(RIGHT(Sheet1!F18,4),MID(Sheet1!F18,4,2),LEFT(Sheet1!F18,2))</f>
        <v>668528</v>
      </c>
      <c r="Q24" s="62">
        <f t="shared" si="6"/>
        <v>668528</v>
      </c>
      <c r="R24" s="60">
        <f>VALUE(Sheet1!L18)</f>
        <v>1</v>
      </c>
      <c r="S24" s="63" t="str">
        <f t="shared" si="1"/>
        <v>0,</v>
      </c>
      <c r="T24" s="64" t="str">
        <f t="shared" si="2"/>
        <v>67</v>
      </c>
      <c r="U24" s="65">
        <f t="shared" si="7"/>
        <v>0</v>
      </c>
      <c r="V24" s="58">
        <f t="shared" si="7"/>
        <v>67</v>
      </c>
      <c r="W24" s="64">
        <f t="shared" si="3"/>
        <v>4</v>
      </c>
      <c r="X24" s="63" t="str">
        <f t="shared" si="4"/>
        <v>0,</v>
      </c>
      <c r="Y24" s="66" t="str">
        <f t="shared" si="5"/>
        <v>44</v>
      </c>
      <c r="Z24" s="63">
        <f t="shared" si="8"/>
        <v>0</v>
      </c>
      <c r="AA24" s="58">
        <f t="shared" si="8"/>
        <v>44</v>
      </c>
      <c r="AB24" s="64">
        <f t="shared" si="9"/>
        <v>4.2166666666666668</v>
      </c>
    </row>
    <row r="25" spans="1:28" s="60" customFormat="1" ht="15.75" customHeight="1" x14ac:dyDescent="0.25">
      <c r="A25" s="57">
        <f t="shared" si="0"/>
        <v>668923</v>
      </c>
      <c r="B25" s="58" t="str">
        <f>Sheet1!H19&amp;" - "&amp;Sheet1!I19</f>
        <v>0,291666666666667 - 0,5</v>
      </c>
      <c r="C25" s="58">
        <f>IF(Sheet1!J19=0,"",Sheet1!J19)</f>
        <v>0.28125</v>
      </c>
      <c r="D25" s="58"/>
      <c r="E25" s="58"/>
      <c r="F25" s="58">
        <f>IF(Sheet1!K19=0,"",Sheet1!K19)</f>
        <v>0.53194444444444444</v>
      </c>
      <c r="G25" s="58"/>
      <c r="H25" s="58"/>
      <c r="I25" s="58"/>
      <c r="J25" s="58"/>
      <c r="K25" s="58">
        <f>IF(Sheet1!R19=0,"",Sheet1!R19)</f>
        <v>0.20833333333333334</v>
      </c>
      <c r="L25" s="58">
        <f>IF(Sheet1!Z19=0,"",Sheet1!Z19)</f>
        <v>0.25069444444444444</v>
      </c>
      <c r="M25" s="58"/>
      <c r="N25" s="59" t="str">
        <f>IF(REG!K25=0,"",REG!K25)</f>
        <v/>
      </c>
      <c r="P25" s="61">
        <f>DATE(RIGHT(Sheet1!F19,4),MID(Sheet1!F19,4,2),LEFT(Sheet1!F19,2))</f>
        <v>668923</v>
      </c>
      <c r="Q25" s="62">
        <f t="shared" si="6"/>
        <v>668923</v>
      </c>
      <c r="R25" s="60">
        <f>VALUE(Sheet1!L19)</f>
        <v>1</v>
      </c>
      <c r="S25" s="63" t="str">
        <f t="shared" si="1"/>
        <v>0,</v>
      </c>
      <c r="T25" s="64" t="str">
        <f t="shared" si="2"/>
        <v>33</v>
      </c>
      <c r="U25" s="65">
        <f t="shared" si="7"/>
        <v>0</v>
      </c>
      <c r="V25" s="58">
        <f t="shared" si="7"/>
        <v>33</v>
      </c>
      <c r="W25" s="64">
        <f t="shared" si="3"/>
        <v>5</v>
      </c>
      <c r="X25" s="63" t="str">
        <f t="shared" si="4"/>
        <v>0,</v>
      </c>
      <c r="Y25" s="66" t="str">
        <f t="shared" si="5"/>
        <v>44</v>
      </c>
      <c r="Z25" s="63">
        <f t="shared" si="8"/>
        <v>0</v>
      </c>
      <c r="AA25" s="58">
        <f t="shared" si="8"/>
        <v>44</v>
      </c>
      <c r="AB25" s="64">
        <f t="shared" si="9"/>
        <v>6.0166666666666666</v>
      </c>
    </row>
    <row r="26" spans="1:28" s="60" customFormat="1" ht="15.75" customHeight="1" x14ac:dyDescent="0.25">
      <c r="A26" s="57">
        <f t="shared" si="0"/>
        <v>669715</v>
      </c>
      <c r="B26" s="58" t="str">
        <f>Sheet1!H20&amp;" - "&amp;Sheet1!I20</f>
        <v>0,291666666666667 - 0,541666666666667</v>
      </c>
      <c r="C26" s="58">
        <f>IF(Sheet1!J20=0,"",Sheet1!J20)</f>
        <v>0.28055555555555556</v>
      </c>
      <c r="D26" s="58"/>
      <c r="E26" s="58"/>
      <c r="F26" s="58">
        <f>IF(Sheet1!K20=0,"",Sheet1!K20)</f>
        <v>0.5541666666666667</v>
      </c>
      <c r="G26" s="58"/>
      <c r="H26" s="58"/>
      <c r="I26" s="58"/>
      <c r="J26" s="58"/>
      <c r="K26" s="58">
        <f>IF(Sheet1!R20=0,"",Sheet1!R20)</f>
        <v>0.25</v>
      </c>
      <c r="L26" s="58">
        <f>IF(Sheet1!Z20=0,"",Sheet1!Z20)</f>
        <v>0.27291666666666664</v>
      </c>
      <c r="M26" s="58"/>
      <c r="N26" s="59" t="str">
        <f>IF(REG!K26=0,"",REG!K26)</f>
        <v/>
      </c>
      <c r="P26" s="61">
        <f>DATE(RIGHT(Sheet1!F20,4),MID(Sheet1!F20,4,2),LEFT(Sheet1!F20,2))</f>
        <v>669715</v>
      </c>
      <c r="Q26" s="62">
        <f t="shared" si="6"/>
        <v>669715</v>
      </c>
      <c r="R26" s="60">
        <f>VALUE(Sheet1!L20)</f>
        <v>1</v>
      </c>
      <c r="S26" s="63" t="str">
        <f t="shared" si="1"/>
        <v>0,</v>
      </c>
      <c r="T26" s="64" t="str">
        <f t="shared" si="2"/>
        <v>25</v>
      </c>
      <c r="U26" s="65">
        <f t="shared" si="7"/>
        <v>0</v>
      </c>
      <c r="V26" s="58">
        <f t="shared" si="7"/>
        <v>25</v>
      </c>
      <c r="W26" s="64">
        <f t="shared" si="3"/>
        <v>6</v>
      </c>
      <c r="X26" s="63" t="str">
        <f t="shared" si="4"/>
        <v>0,</v>
      </c>
      <c r="Y26" s="66" t="str">
        <f t="shared" si="5"/>
        <v>67</v>
      </c>
      <c r="Z26" s="63">
        <f t="shared" si="8"/>
        <v>0</v>
      </c>
      <c r="AA26" s="58">
        <f t="shared" si="8"/>
        <v>67</v>
      </c>
      <c r="AB26" s="64">
        <f t="shared" si="9"/>
        <v>6.5499999999999989</v>
      </c>
    </row>
    <row r="27" spans="1:28" s="60" customFormat="1" ht="15.75" customHeight="1" x14ac:dyDescent="0.25">
      <c r="A27" s="57">
        <f t="shared" si="0"/>
        <v>670111</v>
      </c>
      <c r="B27" s="58" t="str">
        <f>Sheet1!H21&amp;" - "&amp;Sheet1!I21</f>
        <v>0,291666666666667 - 0,541666666666667</v>
      </c>
      <c r="C27" s="58">
        <f>IF(Sheet1!J21=0,"",Sheet1!J21)</f>
        <v>0.27430555555555552</v>
      </c>
      <c r="D27" s="58"/>
      <c r="E27" s="58"/>
      <c r="F27" s="58">
        <f>IF(Sheet1!K21=0,"",Sheet1!K21)</f>
        <v>0.66527777777777775</v>
      </c>
      <c r="G27" s="58"/>
      <c r="H27" s="58"/>
      <c r="I27" s="58"/>
      <c r="J27" s="58"/>
      <c r="K27" s="58">
        <f>IF(Sheet1!R21=0,"",Sheet1!R21)</f>
        <v>0.25</v>
      </c>
      <c r="L27" s="58">
        <f>IF(Sheet1!Z21=0,"",Sheet1!Z21)</f>
        <v>0.39027777777777778</v>
      </c>
      <c r="M27" s="58"/>
      <c r="N27" s="59" t="str">
        <f>IF(REG!K27=0,"",REG!K27)</f>
        <v/>
      </c>
      <c r="P27" s="61">
        <f>DATE(RIGHT(Sheet1!F21,4),MID(Sheet1!F21,4,2),LEFT(Sheet1!F21,2))</f>
        <v>670111</v>
      </c>
      <c r="Q27" s="62">
        <f t="shared" si="6"/>
        <v>670111</v>
      </c>
      <c r="R27" s="60">
        <f>VALUE(Sheet1!L21)</f>
        <v>1</v>
      </c>
      <c r="S27" s="63" t="str">
        <f t="shared" si="1"/>
        <v>0,</v>
      </c>
      <c r="T27" s="64" t="str">
        <f t="shared" si="2"/>
        <v>25</v>
      </c>
      <c r="U27" s="65">
        <f t="shared" si="7"/>
        <v>0</v>
      </c>
      <c r="V27" s="58">
        <f t="shared" si="7"/>
        <v>25</v>
      </c>
      <c r="W27" s="64">
        <f t="shared" si="3"/>
        <v>6</v>
      </c>
      <c r="X27" s="63" t="str">
        <f t="shared" si="4"/>
        <v>0,</v>
      </c>
      <c r="Y27" s="66" t="str">
        <f t="shared" si="5"/>
        <v>78</v>
      </c>
      <c r="Z27" s="63">
        <f t="shared" si="8"/>
        <v>0</v>
      </c>
      <c r="AA27" s="58">
        <f t="shared" si="8"/>
        <v>78</v>
      </c>
      <c r="AB27" s="64">
        <f t="shared" si="9"/>
        <v>9.3666666666666671</v>
      </c>
    </row>
    <row r="28" spans="1:28" s="60" customFormat="1" ht="15.75" customHeight="1" x14ac:dyDescent="0.25">
      <c r="A28" s="57">
        <f t="shared" si="0"/>
        <v>670507</v>
      </c>
      <c r="B28" s="58" t="str">
        <f>Sheet1!H22&amp;" - "&amp;Sheet1!I22</f>
        <v>0,291666666666667 - 0,541666666666667</v>
      </c>
      <c r="C28" s="58">
        <f>IF(Sheet1!J22=0,"",Sheet1!J22)</f>
        <v>0.26874999999999999</v>
      </c>
      <c r="D28" s="58"/>
      <c r="E28" s="58"/>
      <c r="F28" s="58">
        <f>IF(Sheet1!K22=0,"",Sheet1!K22)</f>
        <v>0.57361111111111107</v>
      </c>
      <c r="G28" s="58"/>
      <c r="H28" s="58"/>
      <c r="I28" s="58"/>
      <c r="J28" s="58"/>
      <c r="K28" s="58">
        <f>IF(Sheet1!R22=0,"",Sheet1!R22)</f>
        <v>0.25</v>
      </c>
      <c r="L28" s="58">
        <f>IF(Sheet1!Z22=0,"",Sheet1!Z22)</f>
        <v>0.30486111111111108</v>
      </c>
      <c r="M28" s="58"/>
      <c r="N28" s="59" t="str">
        <f>IF(REG!K28=0,"",REG!K28)</f>
        <v/>
      </c>
      <c r="P28" s="61">
        <f>DATE(RIGHT(Sheet1!F22,4),MID(Sheet1!F22,4,2),LEFT(Sheet1!F22,2))</f>
        <v>670507</v>
      </c>
      <c r="Q28" s="62">
        <f t="shared" si="6"/>
        <v>670507</v>
      </c>
      <c r="R28" s="60">
        <f>VALUE(Sheet1!L22)</f>
        <v>1</v>
      </c>
      <c r="S28" s="63" t="str">
        <f t="shared" si="1"/>
        <v>0,</v>
      </c>
      <c r="T28" s="64" t="str">
        <f t="shared" si="2"/>
        <v>25</v>
      </c>
      <c r="U28" s="65">
        <f t="shared" si="7"/>
        <v>0</v>
      </c>
      <c r="V28" s="58">
        <f t="shared" si="7"/>
        <v>25</v>
      </c>
      <c r="W28" s="64">
        <f t="shared" si="3"/>
        <v>6</v>
      </c>
      <c r="X28" s="63" t="str">
        <f t="shared" si="4"/>
        <v>0,</v>
      </c>
      <c r="Y28" s="66" t="str">
        <f t="shared" si="5"/>
        <v>11</v>
      </c>
      <c r="Z28" s="63">
        <f t="shared" si="8"/>
        <v>0</v>
      </c>
      <c r="AA28" s="58">
        <f t="shared" si="8"/>
        <v>11</v>
      </c>
      <c r="AB28" s="64">
        <f t="shared" si="9"/>
        <v>7.3166666666666664</v>
      </c>
    </row>
    <row r="29" spans="1:28" s="60" customFormat="1" ht="15.75" customHeight="1" x14ac:dyDescent="0.25">
      <c r="A29" s="57">
        <f t="shared" si="0"/>
        <v>670903</v>
      </c>
      <c r="B29" s="58" t="str">
        <f>Sheet1!H23&amp;" - "&amp;Sheet1!I23</f>
        <v>0,291666666666667 - 0,541666666666667</v>
      </c>
      <c r="C29" s="58">
        <f>IF(Sheet1!J23=0,"",Sheet1!J23)</f>
        <v>0.27361111111111108</v>
      </c>
      <c r="D29" s="58"/>
      <c r="E29" s="58"/>
      <c r="F29" s="58">
        <f>IF(Sheet1!K23=0,"",Sheet1!K23)</f>
        <v>0.55555555555555558</v>
      </c>
      <c r="G29" s="58"/>
      <c r="H29" s="58"/>
      <c r="I29" s="58"/>
      <c r="J29" s="58"/>
      <c r="K29" s="58">
        <f>IF(Sheet1!R23=0,"",Sheet1!R23)</f>
        <v>0.25</v>
      </c>
      <c r="L29" s="58">
        <f>IF(Sheet1!Z23=0,"",Sheet1!Z23)</f>
        <v>0.28194444444444444</v>
      </c>
      <c r="M29" s="58"/>
      <c r="N29" s="59" t="str">
        <f>IF(REG!K29=0,"",REG!K29)</f>
        <v/>
      </c>
      <c r="P29" s="61">
        <f>DATE(RIGHT(Sheet1!F23,4),MID(Sheet1!F23,4,2),LEFT(Sheet1!F23,2))</f>
        <v>670903</v>
      </c>
      <c r="Q29" s="62">
        <f t="shared" si="6"/>
        <v>670903</v>
      </c>
      <c r="R29" s="60">
        <f>VALUE(Sheet1!L23)</f>
        <v>1</v>
      </c>
      <c r="S29" s="63" t="str">
        <f t="shared" si="1"/>
        <v>0,</v>
      </c>
      <c r="T29" s="64" t="str">
        <f t="shared" si="2"/>
        <v>25</v>
      </c>
      <c r="U29" s="65">
        <f t="shared" si="7"/>
        <v>0</v>
      </c>
      <c r="V29" s="58">
        <f t="shared" si="7"/>
        <v>25</v>
      </c>
      <c r="W29" s="64">
        <f t="shared" si="3"/>
        <v>6</v>
      </c>
      <c r="X29" s="63" t="str">
        <f t="shared" si="4"/>
        <v>0,</v>
      </c>
      <c r="Y29" s="66" t="str">
        <f t="shared" si="5"/>
        <v>44</v>
      </c>
      <c r="Z29" s="63">
        <f t="shared" si="8"/>
        <v>0</v>
      </c>
      <c r="AA29" s="58">
        <f t="shared" si="8"/>
        <v>44</v>
      </c>
      <c r="AB29" s="64">
        <f t="shared" si="9"/>
        <v>6.7666666666666666</v>
      </c>
    </row>
    <row r="30" spans="1:28" s="60" customFormat="1" ht="15.75" customHeight="1" x14ac:dyDescent="0.25">
      <c r="A30" s="57">
        <f t="shared" si="0"/>
        <v>671299</v>
      </c>
      <c r="B30" s="58" t="str">
        <f>Sheet1!H24&amp;" - "&amp;Sheet1!I24</f>
        <v>0,291666666666667 - 0,458333333333333</v>
      </c>
      <c r="C30" s="58">
        <f>IF(Sheet1!J24=0,"",Sheet1!J24)</f>
        <v>0.28055555555555556</v>
      </c>
      <c r="D30" s="58"/>
      <c r="E30" s="58"/>
      <c r="F30" s="58">
        <f>IF(Sheet1!K24=0,"",Sheet1!K24)</f>
        <v>0.46597222222222223</v>
      </c>
      <c r="G30" s="58"/>
      <c r="H30" s="58"/>
      <c r="I30" s="58"/>
      <c r="J30" s="58"/>
      <c r="K30" s="58">
        <f>IF(Sheet1!R24=0,"",Sheet1!R24)</f>
        <v>0.16666666666666666</v>
      </c>
      <c r="L30" s="58">
        <f>IF(Sheet1!Z24=0,"",Sheet1!Z24)</f>
        <v>0.18541666666666667</v>
      </c>
      <c r="M30" s="58"/>
      <c r="N30" s="59" t="str">
        <f>IF(REG!K30=0,"",REG!K30)</f>
        <v/>
      </c>
      <c r="P30" s="61">
        <f>DATE(RIGHT(Sheet1!F24,4),MID(Sheet1!F24,4,2),LEFT(Sheet1!F24,2))</f>
        <v>671299</v>
      </c>
      <c r="Q30" s="62">
        <f t="shared" si="6"/>
        <v>671299</v>
      </c>
      <c r="R30" s="60">
        <f>VALUE(Sheet1!L24)</f>
        <v>1</v>
      </c>
      <c r="S30" s="63" t="str">
        <f t="shared" si="1"/>
        <v>0,</v>
      </c>
      <c r="T30" s="64" t="str">
        <f t="shared" si="2"/>
        <v>67</v>
      </c>
      <c r="U30" s="65">
        <f t="shared" si="7"/>
        <v>0</v>
      </c>
      <c r="V30" s="58">
        <f t="shared" si="7"/>
        <v>67</v>
      </c>
      <c r="W30" s="64">
        <f t="shared" si="3"/>
        <v>4</v>
      </c>
      <c r="X30" s="63" t="str">
        <f t="shared" si="4"/>
        <v>0,</v>
      </c>
      <c r="Y30" s="66" t="str">
        <f t="shared" si="5"/>
        <v>67</v>
      </c>
      <c r="Z30" s="63">
        <f t="shared" si="8"/>
        <v>0</v>
      </c>
      <c r="AA30" s="58">
        <f t="shared" si="8"/>
        <v>67</v>
      </c>
      <c r="AB30" s="64">
        <f t="shared" si="9"/>
        <v>4.45</v>
      </c>
    </row>
    <row r="31" spans="1:28" s="60" customFormat="1" ht="15.75" customHeight="1" x14ac:dyDescent="0.25">
      <c r="A31" s="57">
        <f t="shared" si="0"/>
        <v>671694</v>
      </c>
      <c r="B31" s="58" t="str">
        <f>Sheet1!H25&amp;" - "&amp;Sheet1!I25</f>
        <v>0,291666666666667 - 0,5</v>
      </c>
      <c r="C31" s="58">
        <f>IF(Sheet1!J25=0,"",Sheet1!J25)</f>
        <v>0.28125</v>
      </c>
      <c r="D31" s="58"/>
      <c r="E31" s="58"/>
      <c r="F31" s="58">
        <f>IF(Sheet1!K25=0,"",Sheet1!K25)</f>
        <v>0.54374999999999996</v>
      </c>
      <c r="G31" s="58"/>
      <c r="H31" s="58"/>
      <c r="I31" s="58"/>
      <c r="J31" s="58"/>
      <c r="K31" s="58">
        <f>IF(Sheet1!R25=0,"",Sheet1!R25)</f>
        <v>0.20833333333333334</v>
      </c>
      <c r="L31" s="58">
        <f>IF(Sheet1!Z25=0,"",Sheet1!Z25)</f>
        <v>0.26180555555555557</v>
      </c>
      <c r="M31" s="58"/>
      <c r="N31" s="59" t="str">
        <f>IF(REG!K31=0,"",REG!K31)</f>
        <v/>
      </c>
      <c r="P31" s="61">
        <f>DATE(RIGHT(Sheet1!F25,4),MID(Sheet1!F25,4,2),LEFT(Sheet1!F25,2))</f>
        <v>671694</v>
      </c>
      <c r="Q31" s="62">
        <f t="shared" si="6"/>
        <v>671694</v>
      </c>
      <c r="R31" s="60">
        <f>VALUE(Sheet1!L25)</f>
        <v>1</v>
      </c>
      <c r="S31" s="63" t="str">
        <f t="shared" si="1"/>
        <v>0,</v>
      </c>
      <c r="T31" s="64" t="str">
        <f t="shared" si="2"/>
        <v>33</v>
      </c>
      <c r="U31" s="65">
        <f t="shared" si="7"/>
        <v>0</v>
      </c>
      <c r="V31" s="58">
        <f t="shared" si="7"/>
        <v>33</v>
      </c>
      <c r="W31" s="64">
        <f t="shared" si="3"/>
        <v>5</v>
      </c>
      <c r="X31" s="63" t="str">
        <f t="shared" si="4"/>
        <v>0,</v>
      </c>
      <c r="Y31" s="66" t="str">
        <f t="shared" si="5"/>
        <v>56</v>
      </c>
      <c r="Z31" s="63">
        <f t="shared" si="8"/>
        <v>0</v>
      </c>
      <c r="AA31" s="58">
        <f t="shared" si="8"/>
        <v>56</v>
      </c>
      <c r="AB31" s="64">
        <f t="shared" si="9"/>
        <v>6.2833333333333332</v>
      </c>
    </row>
    <row r="32" spans="1:28" s="60" customFormat="1" ht="15.75" customHeight="1" x14ac:dyDescent="0.25">
      <c r="A32" s="57">
        <f t="shared" si="0"/>
        <v>672487</v>
      </c>
      <c r="B32" s="58" t="str">
        <f>Sheet1!H26&amp;" - "&amp;Sheet1!I26</f>
        <v>0,291666666666667 - 0,541666666666667</v>
      </c>
      <c r="C32" s="58">
        <f>IF(Sheet1!J26=0,"",Sheet1!J26)</f>
        <v>0.28472222222222221</v>
      </c>
      <c r="D32" s="58"/>
      <c r="E32" s="58"/>
      <c r="F32" s="58">
        <f>IF(Sheet1!K26=0,"",Sheet1!K26)</f>
        <v>0.56458333333333333</v>
      </c>
      <c r="G32" s="58"/>
      <c r="H32" s="58"/>
      <c r="I32" s="58"/>
      <c r="J32" s="58"/>
      <c r="K32" s="58">
        <f>IF(Sheet1!R26=0,"",Sheet1!R26)</f>
        <v>0.25</v>
      </c>
      <c r="L32" s="58">
        <f>IF(Sheet1!Z26=0,"",Sheet1!Z26)</f>
        <v>0.27986111111111112</v>
      </c>
      <c r="M32" s="58"/>
      <c r="N32" s="59" t="str">
        <f>IF(REG!K32=0,"",REG!K32)</f>
        <v/>
      </c>
      <c r="P32" s="61">
        <f>DATE(RIGHT(Sheet1!F26,4),MID(Sheet1!F26,4,2),LEFT(Sheet1!F26,2))</f>
        <v>672487</v>
      </c>
      <c r="Q32" s="62">
        <f t="shared" si="6"/>
        <v>672487</v>
      </c>
      <c r="R32" s="60">
        <f>VALUE(Sheet1!L26)</f>
        <v>1</v>
      </c>
      <c r="S32" s="63" t="str">
        <f t="shared" si="1"/>
        <v>0,</v>
      </c>
      <c r="T32" s="64" t="str">
        <f t="shared" si="2"/>
        <v>25</v>
      </c>
      <c r="U32" s="65">
        <f t="shared" si="7"/>
        <v>0</v>
      </c>
      <c r="V32" s="58">
        <f t="shared" si="7"/>
        <v>25</v>
      </c>
      <c r="W32" s="64">
        <f t="shared" si="3"/>
        <v>6</v>
      </c>
      <c r="X32" s="63" t="str">
        <f t="shared" si="4"/>
        <v>0,</v>
      </c>
      <c r="Y32" s="66" t="str">
        <f t="shared" si="5"/>
        <v>11</v>
      </c>
      <c r="Z32" s="63">
        <f t="shared" si="8"/>
        <v>0</v>
      </c>
      <c r="AA32" s="58">
        <f t="shared" si="8"/>
        <v>11</v>
      </c>
      <c r="AB32" s="64">
        <f t="shared" si="9"/>
        <v>6.7166666666666668</v>
      </c>
    </row>
    <row r="33" spans="1:28" s="60" customFormat="1" ht="15.75" customHeight="1" x14ac:dyDescent="0.25">
      <c r="A33" s="57" t="str">
        <f t="shared" si="0"/>
        <v/>
      </c>
      <c r="B33" s="58" t="str">
        <f>Sheet1!H27&amp;" - "&amp;Sheet1!I27</f>
        <v xml:space="preserve"> - </v>
      </c>
      <c r="C33" s="58" t="e">
        <f>IF(Sheet1!J27=0,"",Sheet1!J27)</f>
        <v>#VALUE!</v>
      </c>
      <c r="D33" s="58"/>
      <c r="E33" s="58"/>
      <c r="F33" s="58" t="e">
        <f>IF(Sheet1!K27=0,"",Sheet1!K27)</f>
        <v>#VALUE!</v>
      </c>
      <c r="G33" s="58"/>
      <c r="H33" s="58"/>
      <c r="I33" s="58"/>
      <c r="J33" s="58"/>
      <c r="K33" s="58" t="str">
        <f>IF(Sheet1!R27=0,"",Sheet1!R27)</f>
        <v/>
      </c>
      <c r="L33" s="58" t="str">
        <f>IF(Sheet1!Z27=0,"",Sheet1!Z27)</f>
        <v/>
      </c>
      <c r="M33" s="58"/>
      <c r="N33" s="59" t="str">
        <f>IF(REG!K33=0,"",REG!K33)</f>
        <v/>
      </c>
      <c r="P33" s="61" t="e">
        <f>DATE(RIGHT(Sheet1!F27,4),MID(Sheet1!F27,4,2),LEFT(Sheet1!F27,2))</f>
        <v>#VALUE!</v>
      </c>
      <c r="Q33" s="62" t="e">
        <f t="shared" si="6"/>
        <v>#VALUE!</v>
      </c>
      <c r="R33" s="60" t="e">
        <f>VALUE(Sheet1!L27)</f>
        <v>#VALUE!</v>
      </c>
      <c r="S33" s="63" t="str">
        <f t="shared" si="1"/>
        <v/>
      </c>
      <c r="T33" s="64" t="str">
        <f t="shared" si="2"/>
        <v/>
      </c>
      <c r="U33" s="65" t="str">
        <f t="shared" si="7"/>
        <v/>
      </c>
      <c r="V33" s="58" t="str">
        <f t="shared" si="7"/>
        <v/>
      </c>
      <c r="W33" s="64" t="str">
        <f t="shared" si="3"/>
        <v/>
      </c>
      <c r="X33" s="63" t="str">
        <f t="shared" si="4"/>
        <v/>
      </c>
      <c r="Y33" s="66" t="str">
        <f t="shared" si="5"/>
        <v/>
      </c>
      <c r="Z33" s="63" t="str">
        <f t="shared" si="8"/>
        <v/>
      </c>
      <c r="AA33" s="58" t="str">
        <f t="shared" si="8"/>
        <v/>
      </c>
      <c r="AB33" s="64" t="str">
        <f t="shared" si="9"/>
        <v/>
      </c>
    </row>
    <row r="34" spans="1:28" s="60" customFormat="1" ht="15.75" customHeight="1" thickBot="1" x14ac:dyDescent="0.3">
      <c r="A34" s="57" t="str">
        <f>IFERROR(Q34,"")</f>
        <v/>
      </c>
      <c r="B34" s="58" t="str">
        <f>Sheet1!H28&amp;" - "&amp;Sheet1!I28</f>
        <v xml:space="preserve"> - </v>
      </c>
      <c r="C34" s="58" t="e">
        <f>IF(Sheet1!J28=0,"",Sheet1!J28)</f>
        <v>#VALUE!</v>
      </c>
      <c r="D34" s="58"/>
      <c r="E34" s="58"/>
      <c r="F34" s="58" t="e">
        <f>IF(Sheet1!K28=0,"",Sheet1!K28)</f>
        <v>#VALUE!</v>
      </c>
      <c r="G34" s="58"/>
      <c r="H34" s="58"/>
      <c r="I34" s="58"/>
      <c r="J34" s="58"/>
      <c r="K34" s="58" t="str">
        <f>IF(Sheet1!R28=0,"",Sheet1!R28)</f>
        <v/>
      </c>
      <c r="L34" s="58" t="str">
        <f>IF(Sheet1!Z28=0,"",Sheet1!Z28)</f>
        <v/>
      </c>
      <c r="M34" s="58"/>
      <c r="N34" s="59" t="str">
        <f>IF(REG!K34=0,"",REG!K34)</f>
        <v/>
      </c>
      <c r="P34" s="61" t="e">
        <f>DATE(RIGHT(Sheet1!F28,4),MID(Sheet1!F28,4,2),LEFT(Sheet1!F28,2))</f>
        <v>#VALUE!</v>
      </c>
      <c r="Q34" s="62" t="e">
        <f t="shared" si="6"/>
        <v>#VALUE!</v>
      </c>
      <c r="R34" s="60" t="e">
        <f>VALUE(Sheet1!L28)</f>
        <v>#VALUE!</v>
      </c>
      <c r="S34" s="67" t="str">
        <f t="shared" si="1"/>
        <v/>
      </c>
      <c r="T34" s="68" t="str">
        <f t="shared" si="2"/>
        <v/>
      </c>
      <c r="U34" s="69" t="str">
        <f t="shared" si="7"/>
        <v/>
      </c>
      <c r="V34" s="70" t="str">
        <f t="shared" si="7"/>
        <v/>
      </c>
      <c r="W34" s="64" t="str">
        <f t="shared" si="3"/>
        <v/>
      </c>
      <c r="X34" s="71" t="str">
        <f t="shared" si="4"/>
        <v/>
      </c>
      <c r="Y34" s="72" t="str">
        <f t="shared" si="5"/>
        <v/>
      </c>
      <c r="Z34" s="71" t="str">
        <f t="shared" si="8"/>
        <v/>
      </c>
      <c r="AA34" s="70" t="str">
        <f t="shared" si="8"/>
        <v/>
      </c>
      <c r="AB34" s="64" t="str">
        <f t="shared" si="9"/>
        <v/>
      </c>
    </row>
    <row r="35" spans="1:28" ht="26.25" customHeight="1" thickBot="1" x14ac:dyDescent="0.3">
      <c r="A35" s="73" t="e">
        <f>"Total Hari : "&amp;R35</f>
        <v>#VALUE!</v>
      </c>
      <c r="B35" s="74"/>
      <c r="C35" s="74"/>
      <c r="D35" s="74"/>
      <c r="E35" s="74"/>
      <c r="F35" s="74"/>
      <c r="G35" s="74"/>
      <c r="H35" s="75" t="s">
        <v>27</v>
      </c>
      <c r="I35" s="75" t="s">
        <v>27</v>
      </c>
      <c r="J35" s="75" t="s">
        <v>27</v>
      </c>
      <c r="K35" s="53" t="str">
        <f>S36&amp;":"&amp;V36</f>
        <v>13,8333333333333:3</v>
      </c>
      <c r="L35" s="53" t="str">
        <f>TEXT(X36,0)&amp;":"&amp;TEXT(AA36,0)</f>
        <v>2:6</v>
      </c>
      <c r="M35" s="53"/>
      <c r="N35" s="74"/>
      <c r="R35" s="49" t="e">
        <f>SUM(R8:R34)</f>
        <v>#VALUE!</v>
      </c>
      <c r="S35" s="76">
        <f>SUM(U8:U33)</f>
        <v>0</v>
      </c>
      <c r="T35" s="77">
        <f>SUM(V8:V33)</f>
        <v>833</v>
      </c>
      <c r="U35" s="78" t="str">
        <f>LEFT(T35,2)&amp;0</f>
        <v>830</v>
      </c>
      <c r="V35" s="79" t="str">
        <f>RIGHT(T35,1)</f>
        <v>3</v>
      </c>
      <c r="W35" s="80">
        <f>SUM(W8:W34)</f>
        <v>137</v>
      </c>
      <c r="X35" s="76">
        <f>SUM(Z8:Z34)</f>
        <v>0</v>
      </c>
      <c r="Y35" s="81">
        <f>SUM(AA8:AA34)</f>
        <v>1227.5999999999999</v>
      </c>
      <c r="Z35" s="82" t="str">
        <f>LEFT(Y35,2)&amp;0</f>
        <v>120</v>
      </c>
      <c r="AA35" s="79" t="str">
        <f>RIGHT(Y35,1)</f>
        <v>6</v>
      </c>
      <c r="AB35" s="83">
        <f>SUM(AB8:AB34)</f>
        <v>162.44999999999999</v>
      </c>
    </row>
    <row r="36" spans="1:28" ht="16.5" thickBot="1" x14ac:dyDescent="0.3">
      <c r="Q36" s="84">
        <f>IFERROR(IFERROR(Q34,Q33),Q32)</f>
        <v>672487</v>
      </c>
      <c r="S36" s="131">
        <f>SUM(LEFT(S35,3),U36)</f>
        <v>13.833333333333334</v>
      </c>
      <c r="T36" s="132"/>
      <c r="U36" s="85">
        <f>U35/60</f>
        <v>13.833333333333334</v>
      </c>
      <c r="V36" s="50" t="str">
        <f>V35</f>
        <v>3</v>
      </c>
      <c r="W36" s="86"/>
      <c r="X36" s="133">
        <f>SUM(LEFT(X35,3),Z36)</f>
        <v>2</v>
      </c>
      <c r="Y36" s="134"/>
      <c r="Z36" s="85">
        <f>Z35/60</f>
        <v>2</v>
      </c>
      <c r="AA36" s="50" t="str">
        <f>AA35</f>
        <v>6</v>
      </c>
      <c r="AB36" s="87">
        <f>X36</f>
        <v>2</v>
      </c>
    </row>
    <row r="37" spans="1:28" ht="15.75" thickTop="1" x14ac:dyDescent="0.25">
      <c r="A37" s="49" t="s">
        <v>20</v>
      </c>
    </row>
    <row r="38" spans="1:28" x14ac:dyDescent="0.25">
      <c r="A38" s="51" t="s">
        <v>28</v>
      </c>
      <c r="C38" s="51" t="s">
        <v>31</v>
      </c>
      <c r="D38" s="51"/>
      <c r="E38" s="51"/>
    </row>
    <row r="39" spans="1:28" x14ac:dyDescent="0.25">
      <c r="A39" s="51" t="s">
        <v>29</v>
      </c>
      <c r="C39" s="51" t="s">
        <v>32</v>
      </c>
      <c r="D39" s="51"/>
      <c r="E39" s="51"/>
    </row>
    <row r="40" spans="1:28" x14ac:dyDescent="0.25">
      <c r="A40" s="51" t="s">
        <v>30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15 Maret 3741</v>
      </c>
      <c r="L43" s="89"/>
      <c r="M43" s="89"/>
    </row>
    <row r="44" spans="1:28" ht="15.75" x14ac:dyDescent="0.25">
      <c r="A44" s="88"/>
      <c r="B44" s="88" t="s">
        <v>35</v>
      </c>
      <c r="C44" s="88"/>
      <c r="D44" s="88"/>
      <c r="E44" s="88"/>
      <c r="F44" s="88"/>
      <c r="G44" s="88"/>
      <c r="H44" s="88"/>
      <c r="I44" s="88"/>
      <c r="J44" s="88"/>
      <c r="K44" s="88" t="s">
        <v>38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36</v>
      </c>
      <c r="C49" s="88"/>
      <c r="D49" s="88"/>
      <c r="E49" s="88"/>
      <c r="F49" s="88"/>
      <c r="G49" s="88"/>
      <c r="H49" s="88"/>
      <c r="I49" s="88"/>
      <c r="J49" s="88"/>
      <c r="K49" s="90" t="s">
        <v>39</v>
      </c>
      <c r="L49" s="89"/>
      <c r="M49" s="89"/>
    </row>
    <row r="50" spans="1:13" ht="15.75" x14ac:dyDescent="0.25">
      <c r="A50" s="88"/>
      <c r="B50" s="88" t="s">
        <v>37</v>
      </c>
      <c r="C50" s="88"/>
      <c r="D50" s="88"/>
      <c r="E50" s="88"/>
      <c r="F50" s="88"/>
      <c r="G50" s="88"/>
      <c r="H50" s="88"/>
      <c r="I50" s="88"/>
      <c r="J50" s="88"/>
      <c r="K50" s="88" t="s">
        <v>40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</vt:lpstr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2019-10-03T09:06:26Z</cp:lastPrinted>
  <dcterms:created xsi:type="dcterms:W3CDTF">2016-12-02T09:51:38Z</dcterms:created>
  <dcterms:modified xsi:type="dcterms:W3CDTF">2019-10-03T09:06:28Z</dcterms:modified>
</cp:coreProperties>
</file>