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528"/>
  <workbookPr showInkAnnotation="0"/>
  <mc:AlternateContent xmlns:mc="http://schemas.openxmlformats.org/markup-compatibility/2006">
    <mc:Choice Requires="x15">
      <x15ac:absPath xmlns:x15ac="http://schemas.microsoft.com/office/spreadsheetml/2010/11/ac" url="D:\MI LABRUK KIDUL 17.18\9. UJIAN-UJIAN\8. APLIKASI RAPOR Kelas 1-6 K-13 MI Permendikbud 23-2016\"/>
    </mc:Choice>
  </mc:AlternateContent>
  <bookViews>
    <workbookView xWindow="0" yWindow="0" windowWidth="15360" windowHeight="7755"/>
  </bookViews>
  <sheets>
    <sheet name="DATA SISWA" sheetId="2" r:id="rId1"/>
    <sheet name="KKM" sheetId="1" r:id="rId2"/>
    <sheet name="REKAP NILAI" sheetId="3" r:id="rId3"/>
    <sheet name="RAPOR" sheetId="4" r:id="rId4"/>
    <sheet name="HITUNGAN UTS (ABAIKAN)" sheetId="5" r:id="rId5"/>
    <sheet name="HITUNGAN UTS (ABAIKAN) (2)" sheetId="6" r:id="rId6"/>
  </sheets>
  <externalReferences>
    <externalReference r:id="rId7"/>
  </externalReferences>
  <definedNames>
    <definedName name="_xlnm.Print_Area" localSheetId="0">'DATA SISWA'!$A$1:$F$1,'DATA SISWA'!$B$2:$F$9,'DATA SISWA'!$A$11:$H$58</definedName>
    <definedName name="_xlnm.Print_Area" localSheetId="1">KKM!$A$1:$D$25</definedName>
    <definedName name="_xlnm.Print_Area" localSheetId="3">RAPOR!$A$1:$H$54</definedName>
    <definedName name="_xlnm.Print_Area" localSheetId="2">'REKAP NILAI'!$A$1:$Y$36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4" l="1"/>
  <c r="C35" i="4"/>
  <c r="C34" i="4"/>
  <c r="C33" i="4"/>
  <c r="C41" i="4"/>
  <c r="C40" i="4"/>
  <c r="S5" i="3"/>
  <c r="C38" i="4" s="1"/>
  <c r="T5" i="3"/>
  <c r="C39" i="4" s="1"/>
  <c r="U5" i="3"/>
  <c r="V5" i="3"/>
  <c r="C21" i="4" l="1"/>
  <c r="C22" i="4"/>
  <c r="C23" i="4"/>
  <c r="C20" i="4"/>
  <c r="J14" i="2" l="1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13" i="2"/>
  <c r="H32" i="4" l="1"/>
  <c r="A46" i="4"/>
  <c r="H37" i="4"/>
  <c r="G34" i="4" l="1"/>
  <c r="G35" i="4"/>
  <c r="G36" i="4"/>
  <c r="G33" i="4"/>
  <c r="G21" i="4"/>
  <c r="G22" i="4"/>
  <c r="G23" i="4"/>
  <c r="G24" i="4"/>
  <c r="G25" i="4"/>
  <c r="G26" i="4"/>
  <c r="G27" i="4"/>
  <c r="G28" i="4"/>
  <c r="G29" i="4"/>
  <c r="G30" i="4"/>
  <c r="G31" i="4"/>
  <c r="G20" i="4"/>
  <c r="G39" i="4"/>
  <c r="G40" i="4"/>
  <c r="G41" i="4"/>
  <c r="G38" i="4"/>
  <c r="F7" i="6" l="1"/>
  <c r="E3" i="6" s="1"/>
  <c r="E4" i="6" s="1"/>
  <c r="D2" i="6"/>
  <c r="D3" i="6"/>
  <c r="C1" i="5" l="1"/>
  <c r="C2" i="5"/>
  <c r="D3" i="5" l="1"/>
  <c r="J5" i="2" l="1"/>
  <c r="H49" i="4" s="1"/>
  <c r="J6" i="2" l="1"/>
  <c r="A1" i="3" s="1"/>
  <c r="D3" i="3"/>
  <c r="I6" i="2"/>
  <c r="J4" i="2"/>
  <c r="P3" i="3" s="1"/>
  <c r="J7" i="2"/>
  <c r="A10" i="4" s="1"/>
  <c r="A2" i="3" l="1"/>
  <c r="A9" i="4"/>
  <c r="F35" i="4" l="1"/>
  <c r="L35" i="4" s="1"/>
  <c r="H35" i="4" s="1"/>
  <c r="F34" i="4"/>
  <c r="L34" i="4" s="1"/>
  <c r="H34" i="4" s="1"/>
  <c r="F33" i="4"/>
  <c r="L33" i="4" s="1"/>
  <c r="H33" i="4" s="1"/>
  <c r="F31" i="4"/>
  <c r="L31" i="4" s="1"/>
  <c r="H31" i="4" s="1"/>
  <c r="F30" i="4"/>
  <c r="L30" i="4" s="1"/>
  <c r="H30" i="4" s="1"/>
  <c r="F29" i="4"/>
  <c r="L29" i="4" s="1"/>
  <c r="H29" i="4" s="1"/>
  <c r="F28" i="4"/>
  <c r="L28" i="4" s="1"/>
  <c r="H28" i="4" s="1"/>
  <c r="F27" i="4"/>
  <c r="L27" i="4" s="1"/>
  <c r="H27" i="4" s="1"/>
  <c r="F26" i="4"/>
  <c r="L26" i="4" s="1"/>
  <c r="H26" i="4" s="1"/>
  <c r="F25" i="4"/>
  <c r="L25" i="4" s="1"/>
  <c r="H25" i="4" s="1"/>
  <c r="F24" i="4"/>
  <c r="L24" i="4" s="1"/>
  <c r="H24" i="4" s="1"/>
  <c r="F23" i="4"/>
  <c r="L23" i="4" s="1"/>
  <c r="H23" i="4" s="1"/>
  <c r="F22" i="4"/>
  <c r="L22" i="4" s="1"/>
  <c r="H22" i="4" s="1"/>
  <c r="F21" i="4"/>
  <c r="L21" i="4" s="1"/>
  <c r="H21" i="4" s="1"/>
  <c r="F20" i="4"/>
  <c r="L20" i="4" s="1"/>
  <c r="H20" i="4" s="1"/>
  <c r="F36" i="4"/>
  <c r="L36" i="4" s="1"/>
  <c r="H36" i="4" s="1"/>
  <c r="F40" i="4"/>
  <c r="L40" i="4" s="1"/>
  <c r="H40" i="4" s="1"/>
  <c r="F39" i="4"/>
  <c r="L39" i="4" s="1"/>
  <c r="H39" i="4" s="1"/>
  <c r="F38" i="4"/>
  <c r="L38" i="4" s="1"/>
  <c r="H38" i="4" s="1"/>
  <c r="F41" i="4"/>
  <c r="L41" i="4" s="1"/>
  <c r="H41" i="4" s="1"/>
  <c r="B53" i="4" l="1"/>
  <c r="H53" i="4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7" i="3"/>
  <c r="A47" i="4"/>
  <c r="E15" i="4"/>
  <c r="E14" i="4"/>
  <c r="E12" i="4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B25" i="4"/>
  <c r="B26" i="4"/>
  <c r="B27" i="4"/>
  <c r="B28" i="4"/>
  <c r="B29" i="4"/>
  <c r="B30" i="4"/>
  <c r="B31" i="4"/>
  <c r="B32" i="4"/>
  <c r="B24" i="4"/>
  <c r="E13" i="4" l="1"/>
  <c r="H48" i="4"/>
  <c r="G43" i="4"/>
  <c r="B43" i="4"/>
  <c r="E42" i="4"/>
  <c r="C42" i="4"/>
  <c r="B42" i="4"/>
  <c r="B41" i="4"/>
  <c r="B40" i="4"/>
  <c r="B39" i="4"/>
  <c r="B38" i="4"/>
  <c r="B37" i="4"/>
  <c r="X66" i="3"/>
  <c r="W66" i="3"/>
  <c r="X65" i="3"/>
  <c r="W65" i="3"/>
  <c r="X64" i="3"/>
  <c r="W64" i="3"/>
  <c r="X63" i="3"/>
  <c r="W63" i="3"/>
  <c r="X62" i="3"/>
  <c r="W62" i="3"/>
  <c r="X61" i="3"/>
  <c r="W61" i="3"/>
  <c r="X60" i="3"/>
  <c r="W60" i="3"/>
  <c r="X59" i="3"/>
  <c r="W59" i="3"/>
  <c r="X58" i="3"/>
  <c r="W58" i="3"/>
  <c r="X57" i="3"/>
  <c r="W57" i="3"/>
  <c r="X56" i="3"/>
  <c r="W56" i="3"/>
  <c r="X55" i="3"/>
  <c r="W55" i="3"/>
  <c r="X54" i="3"/>
  <c r="W54" i="3"/>
  <c r="X53" i="3"/>
  <c r="W53" i="3"/>
  <c r="X52" i="3"/>
  <c r="W52" i="3"/>
  <c r="X51" i="3"/>
  <c r="W51" i="3"/>
  <c r="X50" i="3"/>
  <c r="W50" i="3"/>
  <c r="X49" i="3"/>
  <c r="W49" i="3"/>
  <c r="X48" i="3"/>
  <c r="W48" i="3"/>
  <c r="X47" i="3"/>
  <c r="W47" i="3"/>
  <c r="X46" i="3"/>
  <c r="W46" i="3"/>
  <c r="X45" i="3"/>
  <c r="W45" i="3"/>
  <c r="X44" i="3"/>
  <c r="W44" i="3"/>
  <c r="X43" i="3"/>
  <c r="W43" i="3"/>
  <c r="X42" i="3"/>
  <c r="W42" i="3"/>
  <c r="AD41" i="3"/>
  <c r="AC41" i="3"/>
  <c r="AB41" i="3"/>
  <c r="AA41" i="3"/>
  <c r="X41" i="3"/>
  <c r="W41" i="3"/>
  <c r="X40" i="3"/>
  <c r="W40" i="3"/>
  <c r="X39" i="3"/>
  <c r="W39" i="3"/>
  <c r="X38" i="3"/>
  <c r="W38" i="3"/>
  <c r="X37" i="3"/>
  <c r="W37" i="3"/>
  <c r="X36" i="3"/>
  <c r="W36" i="3"/>
  <c r="AD35" i="3"/>
  <c r="AC35" i="3"/>
  <c r="AB35" i="3"/>
  <c r="AA35" i="3"/>
  <c r="X35" i="3"/>
  <c r="W35" i="3"/>
  <c r="AD34" i="3"/>
  <c r="AC34" i="3"/>
  <c r="AB34" i="3"/>
  <c r="AA34" i="3"/>
  <c r="X34" i="3"/>
  <c r="W34" i="3"/>
  <c r="AD33" i="3"/>
  <c r="AC33" i="3"/>
  <c r="AB33" i="3"/>
  <c r="AA33" i="3"/>
  <c r="X33" i="3"/>
  <c r="W33" i="3"/>
  <c r="AD32" i="3"/>
  <c r="AC32" i="3"/>
  <c r="AB32" i="3"/>
  <c r="AA32" i="3"/>
  <c r="X32" i="3"/>
  <c r="W32" i="3"/>
  <c r="AD31" i="3"/>
  <c r="AC31" i="3"/>
  <c r="AB31" i="3"/>
  <c r="AA31" i="3"/>
  <c r="X31" i="3"/>
  <c r="W31" i="3"/>
  <c r="AD30" i="3"/>
  <c r="AC30" i="3"/>
  <c r="AB30" i="3"/>
  <c r="AA30" i="3"/>
  <c r="X30" i="3"/>
  <c r="W30" i="3"/>
  <c r="AD29" i="3"/>
  <c r="AC29" i="3"/>
  <c r="AB29" i="3"/>
  <c r="AA29" i="3"/>
  <c r="X29" i="3"/>
  <c r="W29" i="3"/>
  <c r="AD28" i="3"/>
  <c r="AC28" i="3"/>
  <c r="AB28" i="3"/>
  <c r="AA28" i="3"/>
  <c r="X28" i="3"/>
  <c r="W28" i="3"/>
  <c r="AD27" i="3"/>
  <c r="AC27" i="3"/>
  <c r="AB27" i="3"/>
  <c r="AA27" i="3"/>
  <c r="X27" i="3"/>
  <c r="W27" i="3"/>
  <c r="AD26" i="3"/>
  <c r="AC26" i="3"/>
  <c r="AB26" i="3"/>
  <c r="AA26" i="3"/>
  <c r="X26" i="3"/>
  <c r="W26" i="3"/>
  <c r="AD25" i="3"/>
  <c r="AC25" i="3"/>
  <c r="AB25" i="3"/>
  <c r="AA25" i="3"/>
  <c r="X25" i="3"/>
  <c r="W25" i="3"/>
  <c r="AD24" i="3"/>
  <c r="AC24" i="3"/>
  <c r="AB24" i="3"/>
  <c r="AA24" i="3"/>
  <c r="X24" i="3"/>
  <c r="W24" i="3"/>
  <c r="AD23" i="3"/>
  <c r="AC23" i="3"/>
  <c r="AB23" i="3"/>
  <c r="AA23" i="3"/>
  <c r="X23" i="3"/>
  <c r="W23" i="3"/>
  <c r="AD22" i="3"/>
  <c r="AC22" i="3"/>
  <c r="AB22" i="3"/>
  <c r="AA22" i="3"/>
  <c r="X22" i="3"/>
  <c r="W22" i="3"/>
  <c r="AD21" i="3"/>
  <c r="AC21" i="3"/>
  <c r="AB21" i="3"/>
  <c r="AA21" i="3"/>
  <c r="X21" i="3"/>
  <c r="W21" i="3"/>
  <c r="AD20" i="3"/>
  <c r="AC20" i="3"/>
  <c r="AB20" i="3"/>
  <c r="AA20" i="3"/>
  <c r="X20" i="3"/>
  <c r="W20" i="3"/>
  <c r="AD19" i="3"/>
  <c r="AC19" i="3"/>
  <c r="AB19" i="3"/>
  <c r="AA19" i="3"/>
  <c r="X19" i="3"/>
  <c r="W19" i="3"/>
  <c r="AD18" i="3"/>
  <c r="AC18" i="3"/>
  <c r="AB18" i="3"/>
  <c r="AA18" i="3"/>
  <c r="X18" i="3"/>
  <c r="W18" i="3"/>
  <c r="AD17" i="3"/>
  <c r="AC17" i="3"/>
  <c r="AB17" i="3"/>
  <c r="AA17" i="3"/>
  <c r="X17" i="3"/>
  <c r="W17" i="3"/>
  <c r="AD16" i="3"/>
  <c r="AC16" i="3"/>
  <c r="AB16" i="3"/>
  <c r="AA16" i="3"/>
  <c r="X16" i="3"/>
  <c r="W16" i="3"/>
  <c r="AD15" i="3"/>
  <c r="AC15" i="3"/>
  <c r="AB15" i="3"/>
  <c r="AA15" i="3"/>
  <c r="X15" i="3"/>
  <c r="W15" i="3"/>
  <c r="AD14" i="3"/>
  <c r="AC14" i="3"/>
  <c r="AB14" i="3"/>
  <c r="AA14" i="3"/>
  <c r="X14" i="3"/>
  <c r="W14" i="3"/>
  <c r="AD13" i="3"/>
  <c r="AC13" i="3"/>
  <c r="AB13" i="3"/>
  <c r="AA13" i="3"/>
  <c r="X13" i="3"/>
  <c r="W13" i="3"/>
  <c r="AD12" i="3"/>
  <c r="AC12" i="3"/>
  <c r="AB12" i="3"/>
  <c r="AA12" i="3"/>
  <c r="X12" i="3"/>
  <c r="W12" i="3"/>
  <c r="AD11" i="3"/>
  <c r="AC11" i="3"/>
  <c r="AB11" i="3"/>
  <c r="AA11" i="3"/>
  <c r="X11" i="3"/>
  <c r="W11" i="3"/>
  <c r="AD10" i="3"/>
  <c r="AC10" i="3"/>
  <c r="AB10" i="3"/>
  <c r="AA10" i="3"/>
  <c r="X10" i="3"/>
  <c r="W10" i="3"/>
  <c r="AD9" i="3"/>
  <c r="AC9" i="3"/>
  <c r="AB9" i="3"/>
  <c r="AA9" i="3"/>
  <c r="X9" i="3"/>
  <c r="W9" i="3"/>
  <c r="AD8" i="3"/>
  <c r="AC8" i="3"/>
  <c r="AB8" i="3"/>
  <c r="AA8" i="3"/>
  <c r="X8" i="3"/>
  <c r="W8" i="3"/>
  <c r="AD7" i="3"/>
  <c r="AC7" i="3"/>
  <c r="AB7" i="3"/>
  <c r="AA7" i="3"/>
  <c r="X7" i="3"/>
  <c r="W7" i="3"/>
  <c r="F42" i="4" l="1"/>
  <c r="L42" i="4" s="1"/>
  <c r="F43" i="4"/>
  <c r="Y11" i="3"/>
  <c r="Y15" i="3"/>
  <c r="Y19" i="3"/>
  <c r="Y23" i="3"/>
  <c r="Y27" i="3"/>
  <c r="Y31" i="3"/>
  <c r="Y35" i="3"/>
  <c r="Y39" i="3"/>
  <c r="Y43" i="3"/>
  <c r="Y47" i="3"/>
  <c r="Y51" i="3"/>
  <c r="Y55" i="3"/>
  <c r="Y59" i="3"/>
  <c r="Y63" i="3"/>
  <c r="Y10" i="3"/>
  <c r="Y14" i="3"/>
  <c r="Y18" i="3"/>
  <c r="Y22" i="3"/>
  <c r="Y26" i="3"/>
  <c r="Y30" i="3"/>
  <c r="Y34" i="3"/>
  <c r="Y38" i="3"/>
  <c r="Y42" i="3"/>
  <c r="Y46" i="3"/>
  <c r="Y50" i="3"/>
  <c r="Y54" i="3"/>
  <c r="Y58" i="3"/>
  <c r="Y62" i="3"/>
  <c r="Y66" i="3"/>
  <c r="Y65" i="3"/>
  <c r="Y61" i="3"/>
  <c r="Y57" i="3"/>
  <c r="Y53" i="3"/>
  <c r="Y49" i="3"/>
  <c r="Y45" i="3"/>
  <c r="Y41" i="3"/>
  <c r="Y37" i="3"/>
  <c r="Y33" i="3"/>
  <c r="Y29" i="3"/>
  <c r="Y25" i="3"/>
  <c r="Y21" i="3"/>
  <c r="Y17" i="3"/>
  <c r="Y13" i="3"/>
  <c r="Y9" i="3"/>
  <c r="Y64" i="3"/>
  <c r="Y60" i="3"/>
  <c r="Y56" i="3"/>
  <c r="Y52" i="3"/>
  <c r="Y48" i="3"/>
  <c r="Y44" i="3"/>
  <c r="Y40" i="3"/>
  <c r="Y36" i="3"/>
  <c r="Y32" i="3"/>
  <c r="Y28" i="3"/>
  <c r="Y24" i="3"/>
  <c r="Y20" i="3"/>
  <c r="Y16" i="3"/>
  <c r="Y12" i="3"/>
  <c r="Y8" i="3"/>
  <c r="Y7" i="3"/>
  <c r="H43" i="4" l="1"/>
</calcChain>
</file>

<file path=xl/sharedStrings.xml><?xml version="1.0" encoding="utf-8"?>
<sst xmlns="http://schemas.openxmlformats.org/spreadsheetml/2006/main" count="403" uniqueCount="181">
  <si>
    <t>PROFIL SEKOLAH</t>
  </si>
  <si>
    <t>KKM</t>
  </si>
  <si>
    <t>NAMA SATUAN PENDIDIKAN</t>
  </si>
  <si>
    <t>MI NURUL ISLAM LABRUK KIDUL</t>
  </si>
  <si>
    <t>SAHRONI,S.Pd.I</t>
  </si>
  <si>
    <t>KELAS</t>
  </si>
  <si>
    <t>WALI KELAS</t>
  </si>
  <si>
    <t>TAHUN PELAJARAN</t>
  </si>
  <si>
    <t>NO</t>
  </si>
  <si>
    <t>NO.INDUK</t>
  </si>
  <si>
    <t>NAMA SISWA</t>
  </si>
  <si>
    <t>TEMPAT LAHIR</t>
  </si>
  <si>
    <t>TANGGAL LAHIR</t>
  </si>
  <si>
    <t>NAMA ORTU</t>
  </si>
  <si>
    <t>NAMA MADRASAH</t>
  </si>
  <si>
    <t>:</t>
  </si>
  <si>
    <t>ORANG TUA</t>
  </si>
  <si>
    <t>NO. INDUK</t>
  </si>
  <si>
    <t>No. Absen</t>
  </si>
  <si>
    <t>Nama Siswa</t>
  </si>
  <si>
    <t>Alquran Hadits</t>
  </si>
  <si>
    <t>Aqidah Akhlak</t>
  </si>
  <si>
    <t>Fiqih</t>
  </si>
  <si>
    <t>Sejarah Kebudayaan Islam</t>
  </si>
  <si>
    <t>PPKn</t>
  </si>
  <si>
    <t>B.Indonesia</t>
  </si>
  <si>
    <t>B. Arab</t>
  </si>
  <si>
    <t>Matematika</t>
  </si>
  <si>
    <t>IPA</t>
  </si>
  <si>
    <t>IPS</t>
  </si>
  <si>
    <t>Kertakes</t>
  </si>
  <si>
    <t>Penjaskes</t>
  </si>
  <si>
    <t>B. Daerah</t>
  </si>
  <si>
    <t>B. Inggris</t>
  </si>
  <si>
    <t>Aswaja</t>
  </si>
  <si>
    <t>Nahwu-Shorof</t>
  </si>
  <si>
    <t>TIK</t>
  </si>
  <si>
    <t>Ulangan</t>
  </si>
  <si>
    <t>JUMLAH</t>
  </si>
  <si>
    <t>Rata-rata</t>
  </si>
  <si>
    <t>Peringkat</t>
  </si>
  <si>
    <t>UTS</t>
  </si>
  <si>
    <t>DAFTAR NILAI</t>
  </si>
  <si>
    <t>N a m a</t>
  </si>
  <si>
    <t xml:space="preserve">: </t>
  </si>
  <si>
    <t>Tempat,Tanggal Lahir</t>
  </si>
  <si>
    <t>Nama Orang Tua</t>
  </si>
  <si>
    <t>Nomor Induk</t>
  </si>
  <si>
    <t>Mata Pelajaran</t>
  </si>
  <si>
    <t xml:space="preserve">NILAI </t>
  </si>
  <si>
    <t>KET</t>
  </si>
  <si>
    <t>1.</t>
  </si>
  <si>
    <t>PESAN WALI KELAS :</t>
  </si>
  <si>
    <t>Pendidikan Agama</t>
  </si>
  <si>
    <t>a</t>
  </si>
  <si>
    <t>b</t>
  </si>
  <si>
    <t>c</t>
  </si>
  <si>
    <t>d</t>
  </si>
  <si>
    <t>Muatan Lokal :</t>
  </si>
  <si>
    <t>Ektrakurikuler</t>
  </si>
  <si>
    <t>a.</t>
  </si>
  <si>
    <t>b.</t>
  </si>
  <si>
    <t>c.</t>
  </si>
  <si>
    <t>d.</t>
  </si>
  <si>
    <t>Tempat&amp;Tgl Keputusan PENERIMAAN RAPOR</t>
  </si>
  <si>
    <t>=</t>
  </si>
  <si>
    <t>---</t>
  </si>
  <si>
    <r>
      <t xml:space="preserve">PESAN WALI KELAS TERHADAP NILAI </t>
    </r>
    <r>
      <rPr>
        <b/>
        <sz val="14"/>
        <color rgb="FFFF0000"/>
        <rFont val="Calibri"/>
        <family val="2"/>
        <scheme val="minor"/>
      </rPr>
      <t>(BARIS 1)</t>
    </r>
  </si>
  <si>
    <r>
      <t xml:space="preserve">PESAN WALI KELAS TERHADAP NILAI </t>
    </r>
    <r>
      <rPr>
        <b/>
        <sz val="14"/>
        <color rgb="FFFF0000"/>
        <rFont val="Calibri"/>
        <family val="2"/>
        <scheme val="minor"/>
      </rPr>
      <t>(BARIS 2)</t>
    </r>
  </si>
  <si>
    <t>2015/2016</t>
  </si>
  <si>
    <t>SEMESTER</t>
  </si>
  <si>
    <t>II (GENAP)</t>
  </si>
  <si>
    <t>JUDUL RAPORT</t>
  </si>
  <si>
    <t>UJIAN TENGAH SEMESTER</t>
  </si>
  <si>
    <t>UJIAN SEMESTER</t>
  </si>
  <si>
    <t>I (GANJIL)</t>
  </si>
  <si>
    <t>2016/2017</t>
  </si>
  <si>
    <t>2014/2015</t>
  </si>
  <si>
    <t>2017/2018</t>
  </si>
  <si>
    <t>2018/2019</t>
  </si>
  <si>
    <t>2019/2020</t>
  </si>
  <si>
    <t>I (SATU) A</t>
  </si>
  <si>
    <t>I (SATU) B</t>
  </si>
  <si>
    <t>II (DUA) A</t>
  </si>
  <si>
    <t>II (DUA) B</t>
  </si>
  <si>
    <t>III (TIGA) A</t>
  </si>
  <si>
    <t>III (TIGA) B</t>
  </si>
  <si>
    <t>IV (EMPAT) A</t>
  </si>
  <si>
    <t>IV (EMPAT) B</t>
  </si>
  <si>
    <t>V (LIMA) A</t>
  </si>
  <si>
    <t>V (LIMA) B</t>
  </si>
  <si>
    <t>VI (ENAM) A</t>
  </si>
  <si>
    <t>VI (ENAM) B</t>
  </si>
  <si>
    <t>KEPALA MADRASAH</t>
  </si>
  <si>
    <t>ROM1</t>
  </si>
  <si>
    <t>ROM2</t>
  </si>
  <si>
    <t>JML POIN</t>
  </si>
  <si>
    <t>JML SOAL</t>
  </si>
  <si>
    <t>POIN SEIMPURNA</t>
  </si>
  <si>
    <t>MASUKKAN SKOR</t>
  </si>
  <si>
    <t>UNTUK ROM2</t>
  </si>
  <si>
    <t>MASUKKAN NILAINYA</t>
  </si>
  <si>
    <t>NILAI</t>
  </si>
  <si>
    <t>WALI MURID</t>
  </si>
  <si>
    <t>_______________</t>
  </si>
  <si>
    <t>(ttd dan nama terang)</t>
  </si>
  <si>
    <t>made by Chusni Kurniawan</t>
  </si>
  <si>
    <t>(c.kurniawan@ymail.com)</t>
  </si>
  <si>
    <t>USWATUN KHASANAH</t>
  </si>
  <si>
    <t>LUMAJANG</t>
  </si>
  <si>
    <t>Jangan malas belajar, Tingkatkan nilaimu!</t>
  </si>
  <si>
    <t>-</t>
  </si>
  <si>
    <t>ACHMAD FATHIR IZUDDIN</t>
  </si>
  <si>
    <t>ACHMAD SEPTIAN HAMDANI</t>
  </si>
  <si>
    <t>ACHMAD SULAIMAN</t>
  </si>
  <si>
    <t>AININ NAFISA FEBRIYANTI</t>
  </si>
  <si>
    <t>AISYAH DWI ANDINI</t>
  </si>
  <si>
    <t>AJENG AGUSTINA KIRANA PUTRI</t>
  </si>
  <si>
    <t>ALVIAN FAIZULHAQQI</t>
  </si>
  <si>
    <t>ANGGITA RIZKY YUGA MEISYA</t>
  </si>
  <si>
    <t>AUFAN AZKAL ABRORI</t>
  </si>
  <si>
    <t>AURA SALSABILA WULAN SARI</t>
  </si>
  <si>
    <t>AZZA PRISHAL DWI PUTRA</t>
  </si>
  <si>
    <t>BALQIS NAILA AUDIA</t>
  </si>
  <si>
    <t>BIMA SATRIA DIRGANTARA</t>
  </si>
  <si>
    <t>DEVI KARUNIA RATNA PUTRI</t>
  </si>
  <si>
    <t>DEVITA FEBRIANI PUTRI</t>
  </si>
  <si>
    <t>EKA AULIYA` PUTRI</t>
  </si>
  <si>
    <t>ERSA PUSPITA EKA ROSA LINDA</t>
  </si>
  <si>
    <t>FABIYAN TRI BAKTI OKTAFIAN</t>
  </si>
  <si>
    <t>FAKHIS GABRIL LIA</t>
  </si>
  <si>
    <t>FELISITA APRILIA NUR NIHAYA</t>
  </si>
  <si>
    <t>FIRDA DWI ANDRIANI</t>
  </si>
  <si>
    <t>GALANG MARDHOTILLAH SATOTO</t>
  </si>
  <si>
    <t>GALIH FAREL PRASETYO</t>
  </si>
  <si>
    <t>GILANG AKBAR PRASETYO</t>
  </si>
  <si>
    <t>HADI GUNAWAN</t>
  </si>
  <si>
    <t>IKA KURNIA WATI AGUSTINA</t>
  </si>
  <si>
    <t>IYAAD  AFLAKHA RAMZII</t>
  </si>
  <si>
    <t>JULI ANDRIYANTO</t>
  </si>
  <si>
    <t>M. RIZKY RIDWAN</t>
  </si>
  <si>
    <t>MOCHAMAD RAFLI DIAN SAPUTRA</t>
  </si>
  <si>
    <t>MUHAMMAD ALVIN RIDHO</t>
  </si>
  <si>
    <t>STANY RAFIDAH RAHMANIA</t>
  </si>
  <si>
    <t>Lumajang</t>
  </si>
  <si>
    <t>HANAU</t>
  </si>
  <si>
    <t>NURUDDIN</t>
  </si>
  <si>
    <t>SYAIFUL ARIS</t>
  </si>
  <si>
    <t>AGUS SULAIMAN</t>
  </si>
  <si>
    <t>SUBOWO</t>
  </si>
  <si>
    <t>SAIFUL ANAM</t>
  </si>
  <si>
    <t>SUKIRNO</t>
  </si>
  <si>
    <t>MUKHAMAD FAUZI</t>
  </si>
  <si>
    <t>GALIH DWI APRIYANTO</t>
  </si>
  <si>
    <t>AHMAD AJMAIN</t>
  </si>
  <si>
    <t>SAIFUL</t>
  </si>
  <si>
    <t>MOHAMMAD SHOLEH</t>
  </si>
  <si>
    <t>SAMSUL HUDA</t>
  </si>
  <si>
    <t>JOKO SAMBANG</t>
  </si>
  <si>
    <t>MUKHAMMAD KHOZIN AS'ARI</t>
  </si>
  <si>
    <t>BINADI</t>
  </si>
  <si>
    <t>BASHORI ALWI</t>
  </si>
  <si>
    <t>SOLIKIN</t>
  </si>
  <si>
    <t>FADLOLI</t>
  </si>
  <si>
    <t>DONI HARIADI</t>
  </si>
  <si>
    <t>EDI SISWANTO</t>
  </si>
  <si>
    <t>MISNATUN</t>
  </si>
  <si>
    <t>AGUNG SUJUD SATOTO</t>
  </si>
  <si>
    <t>MUHAMMAD ARIFIN</t>
  </si>
  <si>
    <t>di akte tidak tercantum</t>
  </si>
  <si>
    <t>LULUT SUPENO</t>
  </si>
  <si>
    <t>SUPANDI ARIS SUMARGIONO</t>
  </si>
  <si>
    <t>ATHO'ILLAH</t>
  </si>
  <si>
    <t>SIAMAN</t>
  </si>
  <si>
    <t>ACHMAD SYAIKHU</t>
  </si>
  <si>
    <t>SAMSUL ARIFIN</t>
  </si>
  <si>
    <t>MACHMUD ALI RIDHO</t>
  </si>
  <si>
    <t>SUNARIYADI</t>
  </si>
  <si>
    <t>SATUKAN</t>
  </si>
  <si>
    <t>CHUSNI KURNIAWAN,S.Pd.</t>
  </si>
  <si>
    <t>Labruk kidul, 31 Oktober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</si>
</sst>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21]dd\ mmmm\ yyyy;@"/>
  </numFmts>
  <fonts count="34" x14ac:knownFonts="1">
    <font>
      <sz val="11"/>
      <color theme="1"/>
      <name val="Calibri"/>
      <family val="2"/>
      <charset val="1"/>
      <scheme val="minor"/>
    </font>
    <font>
      <sz val="20"/>
      <color theme="1"/>
      <name val="Arial Black"/>
      <family val="2"/>
    </font>
    <font>
      <sz val="1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6"/>
      <name val="Times New Roman"/>
      <family val="1"/>
    </font>
    <font>
      <sz val="12"/>
      <name val="Times New Roman"/>
      <family val="1"/>
    </font>
    <font>
      <b/>
      <sz val="12"/>
      <name val="Arial"/>
      <family val="2"/>
    </font>
    <font>
      <b/>
      <sz val="12"/>
      <name val="Times New Roman"/>
      <family val="1"/>
    </font>
    <font>
      <b/>
      <sz val="10"/>
      <name val="Arial"/>
      <family val="2"/>
    </font>
    <font>
      <sz val="12"/>
      <name val="Calibri"/>
      <family val="2"/>
      <charset val="1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0"/>
      <name val="Times New Roman"/>
      <family val="1"/>
    </font>
    <font>
      <b/>
      <u/>
      <sz val="12"/>
      <color theme="1"/>
      <name val="Times New Roman"/>
      <family val="1"/>
    </font>
    <font>
      <sz val="14"/>
      <color theme="1"/>
      <name val="Calibri"/>
      <family val="2"/>
      <charset val="1"/>
      <scheme val="minor"/>
    </font>
    <font>
      <sz val="14"/>
      <color theme="1"/>
      <name val="Times New Roman"/>
      <family val="1"/>
    </font>
    <font>
      <sz val="14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b/>
      <sz val="18"/>
      <color theme="1"/>
      <name val="Times New Roman"/>
      <family val="1"/>
    </font>
    <font>
      <sz val="48"/>
      <color rgb="FFFFFF00"/>
      <name val="Britannic Bold"/>
      <family val="2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6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charset val="1"/>
      <scheme val="minor"/>
    </font>
    <font>
      <sz val="14"/>
      <name val="Times New Roman"/>
      <family val="1"/>
    </font>
    <font>
      <i/>
      <sz val="8"/>
      <name val="Calibri"/>
      <family val="2"/>
      <scheme val="minor"/>
    </font>
    <font>
      <sz val="16"/>
      <color theme="1"/>
      <name val="Arial Black"/>
      <family val="2"/>
    </font>
    <font>
      <sz val="10"/>
      <color theme="1"/>
      <name val="Arial"/>
      <family val="2"/>
    </font>
    <font>
      <sz val="1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79">
    <xf numFmtId="0" fontId="0" fillId="0" borderId="0" xfId="0"/>
    <xf numFmtId="0" fontId="8" fillId="0" borderId="0" xfId="1" applyFont="1" applyAlignment="1">
      <alignment vertical="center"/>
    </xf>
    <xf numFmtId="0" fontId="11" fillId="0" borderId="6" xfId="2" applyFont="1" applyBorder="1" applyAlignment="1">
      <alignment horizontal="center" vertical="center" wrapText="1"/>
    </xf>
    <xf numFmtId="164" fontId="8" fillId="0" borderId="0" xfId="1" applyNumberFormat="1" applyFont="1" applyAlignment="1">
      <alignment horizontal="left" vertical="center"/>
    </xf>
    <xf numFmtId="0" fontId="8" fillId="0" borderId="8" xfId="1" quotePrefix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2" fillId="0" borderId="13" xfId="1" applyFont="1" applyFill="1" applyBorder="1" applyAlignment="1">
      <alignment vertical="center"/>
    </xf>
    <xf numFmtId="2" fontId="8" fillId="0" borderId="8" xfId="1" applyNumberFormat="1" applyFont="1" applyBorder="1" applyAlignment="1">
      <alignment horizontal="center" vertical="center"/>
    </xf>
    <xf numFmtId="0" fontId="0" fillId="2" borderId="0" xfId="0" applyFill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 applyProtection="1">
      <alignment horizontal="center"/>
    </xf>
    <xf numFmtId="0" fontId="17" fillId="0" borderId="0" xfId="0" applyFont="1"/>
    <xf numFmtId="0" fontId="18" fillId="0" borderId="0" xfId="0" applyFont="1" applyAlignment="1">
      <alignment vertical="center"/>
    </xf>
    <xf numFmtId="0" fontId="17" fillId="0" borderId="0" xfId="0" applyFont="1" applyBorder="1"/>
    <xf numFmtId="0" fontId="19" fillId="0" borderId="0" xfId="0" applyFont="1"/>
    <xf numFmtId="0" fontId="18" fillId="0" borderId="0" xfId="0" applyFont="1" applyBorder="1" applyAlignment="1">
      <alignment vertical="center"/>
    </xf>
    <xf numFmtId="0" fontId="19" fillId="0" borderId="0" xfId="0" applyFont="1" applyAlignment="1">
      <alignment horizontal="left" shrinkToFit="1"/>
    </xf>
    <xf numFmtId="0" fontId="20" fillId="0" borderId="0" xfId="0" applyFont="1"/>
    <xf numFmtId="0" fontId="20" fillId="0" borderId="0" xfId="0" applyFont="1" applyBorder="1"/>
    <xf numFmtId="0" fontId="12" fillId="0" borderId="0" xfId="0" applyFont="1"/>
    <xf numFmtId="0" fontId="15" fillId="0" borderId="0" xfId="1" applyFont="1" applyAlignment="1">
      <alignment vertical="center"/>
    </xf>
    <xf numFmtId="0" fontId="13" fillId="0" borderId="3" xfId="0" applyNumberFormat="1" applyFont="1" applyBorder="1" applyAlignment="1">
      <alignment vertical="center" wrapText="1"/>
    </xf>
    <xf numFmtId="0" fontId="13" fillId="0" borderId="17" xfId="0" applyNumberFormat="1" applyFont="1" applyBorder="1" applyAlignment="1">
      <alignment vertical="center" wrapText="1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17" fillId="0" borderId="0" xfId="0" applyNumberFormat="1" applyFont="1" applyBorder="1"/>
    <xf numFmtId="0" fontId="20" fillId="0" borderId="0" xfId="0" applyNumberFormat="1" applyFont="1" applyBorder="1"/>
    <xf numFmtId="0" fontId="20" fillId="0" borderId="0" xfId="0" applyNumberFormat="1" applyFont="1"/>
    <xf numFmtId="0" fontId="13" fillId="0" borderId="0" xfId="0" applyNumberFormat="1" applyFont="1" applyAlignment="1">
      <alignment horizontal="left" vertical="center"/>
    </xf>
    <xf numFmtId="0" fontId="14" fillId="0" borderId="0" xfId="0" applyNumberFormat="1" applyFont="1" applyAlignment="1">
      <alignment horizontal="left" vertical="center" indent="3"/>
    </xf>
    <xf numFmtId="0" fontId="16" fillId="0" borderId="0" xfId="0" applyNumberFormat="1" applyFont="1" applyAlignment="1">
      <alignment horizontal="left" vertical="center"/>
    </xf>
    <xf numFmtId="0" fontId="11" fillId="0" borderId="20" xfId="2" applyNumberFormat="1" applyFont="1" applyBorder="1" applyAlignment="1">
      <alignment horizontal="center" vertical="center" textRotation="90" wrapText="1"/>
    </xf>
    <xf numFmtId="0" fontId="5" fillId="0" borderId="0" xfId="0" applyFont="1" applyFill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22" fontId="0" fillId="0" borderId="0" xfId="0" applyNumberFormat="1" applyAlignment="1">
      <alignment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13" fillId="0" borderId="0" xfId="0" applyNumberFormat="1" applyFont="1" applyAlignment="1">
      <alignment horizontal="left" vertical="center"/>
    </xf>
    <xf numFmtId="2" fontId="8" fillId="0" borderId="8" xfId="0" applyNumberFormat="1" applyFont="1" applyBorder="1" applyAlignment="1">
      <alignment horizontal="center" vertical="center" wrapText="1"/>
    </xf>
    <xf numFmtId="0" fontId="0" fillId="3" borderId="0" xfId="0" applyFill="1"/>
    <xf numFmtId="0" fontId="26" fillId="3" borderId="0" xfId="0" applyFont="1" applyFill="1"/>
    <xf numFmtId="0" fontId="26" fillId="4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0" fillId="8" borderId="8" xfId="0" applyFill="1" applyBorder="1"/>
    <xf numFmtId="0" fontId="0" fillId="3" borderId="0" xfId="0" applyFill="1" applyAlignment="1">
      <alignment vertical="center"/>
    </xf>
    <xf numFmtId="0" fontId="27" fillId="5" borderId="0" xfId="0" applyFont="1" applyFill="1" applyAlignment="1">
      <alignment horizontal="center" vertical="center"/>
    </xf>
    <xf numFmtId="0" fontId="0" fillId="6" borderId="0" xfId="0" applyFill="1" applyAlignment="1">
      <alignment vertical="center"/>
    </xf>
    <xf numFmtId="0" fontId="26" fillId="3" borderId="0" xfId="0" applyFont="1" applyFill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26" fillId="6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3" borderId="0" xfId="0" applyFont="1" applyFill="1" applyAlignment="1">
      <alignment vertical="center"/>
    </xf>
    <xf numFmtId="0" fontId="26" fillId="7" borderId="0" xfId="0" applyFont="1" applyFill="1" applyAlignment="1">
      <alignment horizontal="center" vertical="center"/>
    </xf>
    <xf numFmtId="0" fontId="17" fillId="8" borderId="8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6" fillId="3" borderId="0" xfId="0" applyFont="1" applyFill="1" applyAlignment="1">
      <alignment horizontal="left" vertical="center"/>
    </xf>
    <xf numFmtId="0" fontId="28" fillId="4" borderId="0" xfId="0" applyFont="1" applyFill="1" applyAlignment="1">
      <alignment horizontal="center" vertical="center"/>
    </xf>
    <xf numFmtId="0" fontId="13" fillId="0" borderId="0" xfId="0" applyFont="1" applyAlignment="1">
      <alignment horizontal="center"/>
    </xf>
    <xf numFmtId="1" fontId="8" fillId="0" borderId="8" xfId="1" applyNumberFormat="1" applyFont="1" applyBorder="1" applyAlignment="1" applyProtection="1">
      <alignment horizontal="center" vertical="center"/>
    </xf>
    <xf numFmtId="1" fontId="8" fillId="0" borderId="8" xfId="1" applyNumberFormat="1" applyFont="1" applyBorder="1" applyAlignment="1">
      <alignment horizontal="center" vertical="center"/>
    </xf>
    <xf numFmtId="0" fontId="30" fillId="0" borderId="0" xfId="0" applyFont="1" applyAlignment="1">
      <alignment horizontal="center" vertical="top"/>
    </xf>
    <xf numFmtId="0" fontId="2" fillId="9" borderId="0" xfId="0" applyFont="1" applyFill="1" applyAlignment="1">
      <alignment horizontal="center" vertical="center"/>
    </xf>
    <xf numFmtId="0" fontId="2" fillId="9" borderId="0" xfId="0" applyFont="1" applyFill="1" applyAlignment="1">
      <alignment horizontal="left" vertical="center"/>
    </xf>
    <xf numFmtId="164" fontId="2" fillId="9" borderId="0" xfId="0" applyNumberFormat="1" applyFont="1" applyFill="1" applyAlignment="1">
      <alignment horizontal="center" vertical="center"/>
    </xf>
    <xf numFmtId="49" fontId="0" fillId="9" borderId="0" xfId="0" applyNumberFormat="1" applyFill="1" applyAlignment="1">
      <alignment vertical="center"/>
    </xf>
    <xf numFmtId="0" fontId="8" fillId="9" borderId="7" xfId="1" quotePrefix="1" applyFont="1" applyFill="1" applyBorder="1" applyAlignment="1">
      <alignment horizontal="center" vertical="center"/>
    </xf>
    <xf numFmtId="0" fontId="12" fillId="9" borderId="13" xfId="1" applyFont="1" applyFill="1" applyBorder="1" applyAlignment="1">
      <alignment vertical="center"/>
    </xf>
    <xf numFmtId="1" fontId="8" fillId="9" borderId="8" xfId="1" applyNumberFormat="1" applyFont="1" applyFill="1" applyBorder="1" applyAlignment="1" applyProtection="1">
      <alignment horizontal="center" vertical="center"/>
    </xf>
    <xf numFmtId="1" fontId="8" fillId="9" borderId="7" xfId="1" applyNumberFormat="1" applyFont="1" applyFill="1" applyBorder="1" applyAlignment="1">
      <alignment horizontal="center" vertical="center"/>
    </xf>
    <xf numFmtId="2" fontId="8" fillId="9" borderId="7" xfId="1" applyNumberFormat="1" applyFont="1" applyFill="1" applyBorder="1" applyAlignment="1">
      <alignment horizontal="center" vertical="center"/>
    </xf>
    <xf numFmtId="0" fontId="8" fillId="9" borderId="7" xfId="1" applyFont="1" applyFill="1" applyBorder="1" applyAlignment="1">
      <alignment horizontal="center" vertical="center"/>
    </xf>
    <xf numFmtId="1" fontId="8" fillId="9" borderId="8" xfId="1" applyNumberFormat="1" applyFont="1" applyFill="1" applyBorder="1" applyAlignment="1">
      <alignment horizontal="center" vertical="center"/>
    </xf>
    <xf numFmtId="2" fontId="8" fillId="9" borderId="8" xfId="1" applyNumberFormat="1" applyFont="1" applyFill="1" applyBorder="1" applyAlignment="1">
      <alignment horizontal="center" vertical="center"/>
    </xf>
    <xf numFmtId="0" fontId="8" fillId="9" borderId="8" xfId="1" applyFont="1" applyFill="1" applyBorder="1" applyAlignment="1">
      <alignment horizontal="center" vertical="center"/>
    </xf>
    <xf numFmtId="0" fontId="8" fillId="0" borderId="8" xfId="0" applyFont="1" applyFill="1" applyBorder="1" applyAlignment="1" applyProtection="1">
      <alignment horizontal="center" vertical="center" wrapText="1"/>
    </xf>
    <xf numFmtId="0" fontId="6" fillId="10" borderId="8" xfId="0" applyFont="1" applyFill="1" applyBorder="1" applyAlignment="1">
      <alignment vertical="center" shrinkToFit="1"/>
    </xf>
    <xf numFmtId="0" fontId="6" fillId="10" borderId="17" xfId="0" applyFont="1" applyFill="1" applyBorder="1" applyAlignment="1">
      <alignment vertical="center" shrinkToFit="1"/>
    </xf>
    <xf numFmtId="0" fontId="6" fillId="10" borderId="7" xfId="0" quotePrefix="1" applyFont="1" applyFill="1" applyBorder="1" applyAlignment="1">
      <alignment horizontal="center" vertical="center" shrinkToFit="1"/>
    </xf>
    <xf numFmtId="0" fontId="6" fillId="10" borderId="8" xfId="0" applyFont="1" applyFill="1" applyBorder="1" applyAlignment="1">
      <alignment horizontal="center" vertical="center" shrinkToFit="1"/>
    </xf>
    <xf numFmtId="0" fontId="6" fillId="11" borderId="7" xfId="0" applyFont="1" applyFill="1" applyBorder="1" applyAlignment="1">
      <alignment vertical="center" shrinkToFit="1"/>
    </xf>
    <xf numFmtId="0" fontId="6" fillId="11" borderId="8" xfId="0" applyFont="1" applyFill="1" applyBorder="1" applyAlignment="1">
      <alignment vertical="center" shrinkToFit="1"/>
    </xf>
    <xf numFmtId="0" fontId="6" fillId="11" borderId="8" xfId="0" applyFont="1" applyFill="1" applyBorder="1" applyAlignment="1" applyProtection="1">
      <alignment vertical="center" shrinkToFit="1"/>
      <protection locked="0"/>
    </xf>
    <xf numFmtId="0" fontId="32" fillId="11" borderId="8" xfId="0" applyFont="1" applyFill="1" applyBorder="1" applyAlignment="1">
      <alignment vertical="center" shrinkToFit="1"/>
    </xf>
    <xf numFmtId="0" fontId="6" fillId="11" borderId="17" xfId="0" applyFont="1" applyFill="1" applyBorder="1" applyAlignment="1">
      <alignment vertical="center" shrinkToFit="1"/>
    </xf>
    <xf numFmtId="0" fontId="32" fillId="12" borderId="8" xfId="0" applyFont="1" applyFill="1" applyBorder="1" applyAlignment="1">
      <alignment vertical="center" shrinkToFit="1"/>
    </xf>
    <xf numFmtId="0" fontId="6" fillId="13" borderId="8" xfId="0" applyFont="1" applyFill="1" applyBorder="1" applyAlignment="1">
      <alignment vertical="center" shrinkToFit="1"/>
    </xf>
    <xf numFmtId="0" fontId="32" fillId="11" borderId="17" xfId="0" applyFont="1" applyFill="1" applyBorder="1" applyAlignment="1">
      <alignment vertical="center" shrinkToFit="1"/>
    </xf>
    <xf numFmtId="0" fontId="6" fillId="11" borderId="8" xfId="0" quotePrefix="1" applyFont="1" applyFill="1" applyBorder="1" applyAlignment="1">
      <alignment horizontal="center" vertical="center" shrinkToFit="1"/>
    </xf>
    <xf numFmtId="0" fontId="6" fillId="11" borderId="7" xfId="0" quotePrefix="1" applyFont="1" applyFill="1" applyBorder="1" applyAlignment="1" applyProtection="1">
      <alignment horizontal="center" vertical="center" shrinkToFit="1"/>
    </xf>
    <xf numFmtId="0" fontId="6" fillId="11" borderId="7" xfId="0" quotePrefix="1" applyFont="1" applyFill="1" applyBorder="1" applyAlignment="1">
      <alignment horizontal="center" vertical="center" shrinkToFit="1"/>
    </xf>
    <xf numFmtId="0" fontId="6" fillId="11" borderId="8" xfId="0" quotePrefix="1" applyFont="1" applyFill="1" applyBorder="1" applyAlignment="1" applyProtection="1">
      <alignment horizontal="center" vertical="center" shrinkToFit="1"/>
    </xf>
    <xf numFmtId="0" fontId="6" fillId="12" borderId="7" xfId="0" quotePrefix="1" applyFont="1" applyFill="1" applyBorder="1" applyAlignment="1" applyProtection="1">
      <alignment horizontal="center" vertical="center" shrinkToFit="1"/>
    </xf>
    <xf numFmtId="0" fontId="6" fillId="13" borderId="8" xfId="0" quotePrefix="1" applyFont="1" applyFill="1" applyBorder="1" applyAlignment="1">
      <alignment horizontal="center" vertical="center" shrinkToFit="1"/>
    </xf>
    <xf numFmtId="0" fontId="6" fillId="10" borderId="7" xfId="0" quotePrefix="1" applyFont="1" applyFill="1" applyBorder="1" applyAlignment="1" applyProtection="1">
      <alignment horizontal="center" vertical="center" shrinkToFit="1"/>
    </xf>
    <xf numFmtId="0" fontId="6" fillId="11" borderId="3" xfId="0" applyFont="1" applyFill="1" applyBorder="1" applyAlignment="1" applyProtection="1">
      <alignment horizontal="center" vertical="center" shrinkToFit="1"/>
    </xf>
    <xf numFmtId="0" fontId="33" fillId="10" borderId="3" xfId="0" applyFont="1" applyFill="1" applyBorder="1" applyAlignment="1">
      <alignment horizontal="center" vertical="center" shrinkToFit="1"/>
    </xf>
    <xf numFmtId="0" fontId="6" fillId="11" borderId="3" xfId="0" applyFont="1" applyFill="1" applyBorder="1" applyAlignment="1">
      <alignment horizontal="center" vertical="center" shrinkToFit="1"/>
    </xf>
    <xf numFmtId="0" fontId="33" fillId="11" borderId="3" xfId="0" applyFont="1" applyFill="1" applyBorder="1" applyAlignment="1" applyProtection="1">
      <alignment horizontal="center" vertical="center" shrinkToFit="1"/>
      <protection locked="0"/>
    </xf>
    <xf numFmtId="0" fontId="33" fillId="11" borderId="3" xfId="0" applyFont="1" applyFill="1" applyBorder="1" applyAlignment="1">
      <alignment horizontal="center" vertical="center" shrinkToFit="1"/>
    </xf>
    <xf numFmtId="0" fontId="6" fillId="12" borderId="3" xfId="0" applyFont="1" applyFill="1" applyBorder="1" applyAlignment="1">
      <alignment horizontal="center" vertical="center" shrinkToFit="1"/>
    </xf>
    <xf numFmtId="0" fontId="33" fillId="11" borderId="3" xfId="0" applyFont="1" applyFill="1" applyBorder="1" applyAlignment="1" applyProtection="1">
      <alignment horizontal="center" vertical="center" shrinkToFit="1"/>
    </xf>
    <xf numFmtId="0" fontId="33" fillId="13" borderId="3" xfId="0" applyFont="1" applyFill="1" applyBorder="1" applyAlignment="1">
      <alignment horizontal="center" vertical="center" shrinkToFit="1"/>
    </xf>
    <xf numFmtId="0" fontId="6" fillId="10" borderId="3" xfId="0" applyFont="1" applyFill="1" applyBorder="1" applyAlignment="1">
      <alignment horizontal="center" vertical="center" shrinkToFit="1"/>
    </xf>
    <xf numFmtId="164" fontId="6" fillId="11" borderId="7" xfId="0" applyNumberFormat="1" applyFont="1" applyFill="1" applyBorder="1" applyAlignment="1">
      <alignment horizontal="left" vertical="center" shrinkToFit="1"/>
    </xf>
    <xf numFmtId="164" fontId="6" fillId="10" borderId="17" xfId="0" applyNumberFormat="1" applyFont="1" applyFill="1" applyBorder="1" applyAlignment="1">
      <alignment horizontal="left" vertical="center" shrinkToFit="1"/>
    </xf>
    <xf numFmtId="164" fontId="6" fillId="11" borderId="8" xfId="0" applyNumberFormat="1" applyFont="1" applyFill="1" applyBorder="1" applyAlignment="1">
      <alignment horizontal="left" vertical="center" shrinkToFit="1"/>
    </xf>
    <xf numFmtId="164" fontId="6" fillId="11" borderId="17" xfId="0" applyNumberFormat="1" applyFont="1" applyFill="1" applyBorder="1" applyAlignment="1">
      <alignment horizontal="left" vertical="center" shrinkToFit="1"/>
    </xf>
    <xf numFmtId="164" fontId="6" fillId="12" borderId="8" xfId="0" applyNumberFormat="1" applyFont="1" applyFill="1" applyBorder="1" applyAlignment="1">
      <alignment horizontal="left" vertical="center" shrinkToFit="1"/>
    </xf>
    <xf numFmtId="0" fontId="6" fillId="11" borderId="8" xfId="0" applyFont="1" applyFill="1" applyBorder="1" applyAlignment="1">
      <alignment horizontal="center" vertical="center" shrinkToFit="1"/>
    </xf>
    <xf numFmtId="0" fontId="33" fillId="10" borderId="8" xfId="0" applyFont="1" applyFill="1" applyBorder="1" applyAlignment="1">
      <alignment horizontal="center" vertical="center" shrinkToFit="1"/>
    </xf>
    <xf numFmtId="0" fontId="32" fillId="11" borderId="21" xfId="0" applyFont="1" applyFill="1" applyBorder="1" applyAlignment="1">
      <alignment horizontal="center" vertical="center" shrinkToFit="1"/>
    </xf>
    <xf numFmtId="0" fontId="33" fillId="11" borderId="8" xfId="0" applyFont="1" applyFill="1" applyBorder="1" applyAlignment="1">
      <alignment horizontal="center" vertical="center" shrinkToFit="1"/>
    </xf>
    <xf numFmtId="0" fontId="32" fillId="11" borderId="8" xfId="0" applyFont="1" applyFill="1" applyBorder="1" applyAlignment="1">
      <alignment horizontal="center" vertical="center" shrinkToFit="1"/>
    </xf>
    <xf numFmtId="0" fontId="32" fillId="12" borderId="8" xfId="0" applyFont="1" applyFill="1" applyBorder="1" applyAlignment="1">
      <alignment horizontal="center" vertical="center" shrinkToFit="1"/>
    </xf>
    <xf numFmtId="0" fontId="33" fillId="13" borderId="8" xfId="0" applyFont="1" applyFill="1" applyBorder="1" applyAlignment="1">
      <alignment horizontal="center" vertical="center" shrinkToFit="1"/>
    </xf>
    <xf numFmtId="0" fontId="8" fillId="14" borderId="8" xfId="0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horizontal="center" vertical="center" shrinkToFit="1"/>
    </xf>
    <xf numFmtId="164" fontId="33" fillId="11" borderId="8" xfId="0" applyNumberFormat="1" applyFont="1" applyFill="1" applyBorder="1" applyAlignment="1" applyProtection="1">
      <alignment horizontal="left" vertical="center" shrinkToFit="1"/>
    </xf>
    <xf numFmtId="164" fontId="33" fillId="11" borderId="8" xfId="0" applyNumberFormat="1" applyFont="1" applyFill="1" applyBorder="1" applyAlignment="1">
      <alignment horizontal="left" vertical="center" shrinkToFit="1"/>
    </xf>
    <xf numFmtId="164" fontId="33" fillId="11" borderId="17" xfId="0" applyNumberFormat="1" applyFont="1" applyFill="1" applyBorder="1" applyAlignment="1">
      <alignment horizontal="left" vertical="center" shrinkToFit="1"/>
    </xf>
    <xf numFmtId="164" fontId="33" fillId="13" borderId="8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18" xfId="1" applyFont="1" applyBorder="1" applyAlignment="1">
      <alignment horizontal="center" vertical="center" textRotation="90" wrapText="1"/>
    </xf>
    <xf numFmtId="0" fontId="9" fillId="0" borderId="19" xfId="1" applyFont="1" applyBorder="1" applyAlignment="1">
      <alignment horizontal="center" vertical="center" textRotation="90" wrapText="1"/>
    </xf>
    <xf numFmtId="0" fontId="10" fillId="0" borderId="2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textRotation="90" wrapText="1"/>
    </xf>
    <xf numFmtId="0" fontId="9" fillId="0" borderId="4" xfId="1" applyFont="1" applyBorder="1" applyAlignment="1">
      <alignment horizontal="center" vertical="center" textRotation="90" wrapText="1"/>
    </xf>
    <xf numFmtId="0" fontId="8" fillId="0" borderId="0" xfId="1" applyFont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29" fillId="0" borderId="0" xfId="0" applyFont="1" applyAlignment="1">
      <alignment horizontal="left" shrinkToFit="1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7" xfId="0" applyNumberFormat="1" applyFont="1" applyBorder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left" indent="2" shrinkToFit="1"/>
    </xf>
    <xf numFmtId="0" fontId="21" fillId="0" borderId="0" xfId="0" applyFont="1" applyAlignment="1">
      <alignment horizontal="center" vertical="center"/>
    </xf>
    <xf numFmtId="0" fontId="13" fillId="0" borderId="3" xfId="0" applyNumberFormat="1" applyFont="1" applyBorder="1" applyAlignment="1">
      <alignment horizontal="left" vertical="center" wrapText="1"/>
    </xf>
    <xf numFmtId="0" fontId="13" fillId="0" borderId="16" xfId="0" applyNumberFormat="1" applyFont="1" applyBorder="1" applyAlignment="1">
      <alignment horizontal="left" vertical="center" wrapText="1"/>
    </xf>
    <xf numFmtId="0" fontId="13" fillId="0" borderId="17" xfId="0" applyNumberFormat="1" applyFont="1" applyBorder="1" applyAlignment="1">
      <alignment horizontal="left" vertical="center" wrapText="1"/>
    </xf>
    <xf numFmtId="0" fontId="13" fillId="0" borderId="3" xfId="0" applyNumberFormat="1" applyFont="1" applyFill="1" applyBorder="1" applyAlignment="1">
      <alignment horizontal="left" vertical="center" wrapText="1"/>
    </xf>
    <xf numFmtId="0" fontId="13" fillId="0" borderId="16" xfId="0" applyNumberFormat="1" applyFont="1" applyFill="1" applyBorder="1" applyAlignment="1">
      <alignment horizontal="left" vertical="center" wrapText="1"/>
    </xf>
    <xf numFmtId="0" fontId="13" fillId="0" borderId="17" xfId="0" applyNumberFormat="1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7" fillId="0" borderId="14" xfId="0" applyFont="1" applyBorder="1" applyAlignment="1">
      <alignment horizontal="center"/>
    </xf>
  </cellXfs>
  <cellStyles count="3">
    <cellStyle name="Normal" xfId="0" builtinId="0"/>
    <cellStyle name="Normal 2" xfId="1"/>
    <cellStyle name="Normal_Sheet1" xfId="2"/>
  </cellStyles>
  <dxfs count="0"/>
  <tableStyles count="0" defaultTableStyle="TableStyleMedium2" defaultPivotStyle="PivotStyleLight16"/>
  <colors>
    <mruColors>
      <color rgb="FFFF9900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22" fmlaLink="$J$12" max="50" min="1" page="10" val="4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KKM!A1"/><Relationship Id="rId1" Type="http://schemas.openxmlformats.org/officeDocument/2006/relationships/hyperlink" Target="#RAPO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RAPOR!A1"/><Relationship Id="rId2" Type="http://schemas.openxmlformats.org/officeDocument/2006/relationships/hyperlink" Target="#'DATA SISWA'!A1"/><Relationship Id="rId1" Type="http://schemas.openxmlformats.org/officeDocument/2006/relationships/hyperlink" Target="#'REKAP NILAI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KKM!A1"/><Relationship Id="rId2" Type="http://schemas.openxmlformats.org/officeDocument/2006/relationships/hyperlink" Target="#'DATA SISWA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2117912</xdr:colOff>
      <xdr:row>9</xdr:row>
      <xdr:rowOff>78441</xdr:rowOff>
    </xdr:from>
    <xdr:to>
      <xdr:col>4</xdr:col>
      <xdr:colOff>289483</xdr:colOff>
      <xdr:row>9</xdr:row>
      <xdr:rowOff>381000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328147" y="2364441"/>
          <a:ext cx="2149660" cy="302559"/>
        </a:xfrm>
        <a:prstGeom prst="rect">
          <a:avLst/>
        </a:prstGeom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id-ID" sz="1100" b="1"/>
            <a:t>ke</a:t>
          </a:r>
          <a:r>
            <a:rPr lang="id-ID" sz="1100" b="1" baseline="0"/>
            <a:t> RAPOR SISWA</a:t>
          </a:r>
          <a:endParaRPr lang="id-ID" sz="1100" b="1"/>
        </a:p>
      </xdr:txBody>
    </xdr:sp>
    <xdr:clientData/>
  </xdr:twoCellAnchor>
  <xdr:twoCellAnchor>
    <xdr:from>
      <xdr:col>6</xdr:col>
      <xdr:colOff>225519</xdr:colOff>
      <xdr:row>6</xdr:row>
      <xdr:rowOff>198904</xdr:rowOff>
    </xdr:from>
    <xdr:to>
      <xdr:col>6</xdr:col>
      <xdr:colOff>2040871</xdr:colOff>
      <xdr:row>9</xdr:row>
      <xdr:rowOff>306761</xdr:rowOff>
    </xdr:to>
    <xdr:sp macro="" textlink="">
      <xdr:nvSpPr>
        <xdr:cNvPr id="4" name="Rounded Rectangl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821832" y="1913404"/>
          <a:ext cx="1815352" cy="631732"/>
        </a:xfrm>
        <a:prstGeom prst="roundRect">
          <a:avLst/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3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Edit KKM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116973</xdr:rowOff>
    </xdr:from>
    <xdr:ext cx="2927661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116973"/>
          <a:ext cx="292766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id-ID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nilai KKM</a:t>
          </a:r>
          <a:endParaRPr lang="en-U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tx1"/>
            </a:solidFill>
            <a:effectLst>
              <a:outerShdw blurRad="12700" dist="38100" dir="2700000" algn="tl" rotWithShape="0">
                <a:schemeClr val="bg1">
                  <a:lumMod val="50000"/>
                </a:schemeClr>
              </a:outerShdw>
            </a:effectLst>
          </a:endParaRPr>
        </a:p>
      </xdr:txBody>
    </xdr:sp>
    <xdr:clientData/>
  </xdr:oneCellAnchor>
  <xdr:twoCellAnchor>
    <xdr:from>
      <xdr:col>4</xdr:col>
      <xdr:colOff>269874</xdr:colOff>
      <xdr:row>0</xdr:row>
      <xdr:rowOff>984250</xdr:rowOff>
    </xdr:from>
    <xdr:to>
      <xdr:col>8</xdr:col>
      <xdr:colOff>539749</xdr:colOff>
      <xdr:row>8</xdr:row>
      <xdr:rowOff>179367</xdr:rowOff>
    </xdr:to>
    <xdr:sp macro="" textlink="">
      <xdr:nvSpPr>
        <xdr:cNvPr id="3" name="Rounded 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46499" y="984250"/>
          <a:ext cx="2682875" cy="1989117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id-ID" sz="5400" b="1" cap="none" spc="0"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solidFill>
                <a:srgbClr val="FFFF00"/>
              </a:solidFill>
              <a:effectLst/>
            </a:rPr>
            <a:t>Rekap Nilai</a:t>
          </a:r>
        </a:p>
      </xdr:txBody>
    </xdr:sp>
    <xdr:clientData/>
  </xdr:twoCellAnchor>
  <xdr:twoCellAnchor>
    <xdr:from>
      <xdr:col>4</xdr:col>
      <xdr:colOff>231774</xdr:colOff>
      <xdr:row>0</xdr:row>
      <xdr:rowOff>247650</xdr:rowOff>
    </xdr:from>
    <xdr:to>
      <xdr:col>8</xdr:col>
      <xdr:colOff>501649</xdr:colOff>
      <xdr:row>0</xdr:row>
      <xdr:rowOff>968375</xdr:rowOff>
    </xdr:to>
    <xdr:sp macro="" textlink="">
      <xdr:nvSpPr>
        <xdr:cNvPr id="4" name="Rounded Rectangl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708399" y="247650"/>
          <a:ext cx="2682875" cy="720725"/>
        </a:xfrm>
        <a:prstGeom prst="roundRect">
          <a:avLst/>
        </a:prstGeom>
        <a:solidFill>
          <a:schemeClr val="accent1">
            <a:lumMod val="75000"/>
          </a:schemeClr>
        </a:solidFill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3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Data Siswa</a:t>
          </a:r>
        </a:p>
      </xdr:txBody>
    </xdr:sp>
    <xdr:clientData/>
  </xdr:twoCellAnchor>
  <xdr:twoCellAnchor>
    <xdr:from>
      <xdr:col>4</xdr:col>
      <xdr:colOff>241299</xdr:colOff>
      <xdr:row>8</xdr:row>
      <xdr:rowOff>146050</xdr:rowOff>
    </xdr:from>
    <xdr:to>
      <xdr:col>8</xdr:col>
      <xdr:colOff>511174</xdr:colOff>
      <xdr:row>11</xdr:row>
      <xdr:rowOff>152400</xdr:rowOff>
    </xdr:to>
    <xdr:sp macro="" textlink="">
      <xdr:nvSpPr>
        <xdr:cNvPr id="5" name="Rounded Rectangl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717924" y="2940050"/>
          <a:ext cx="2682875" cy="720725"/>
        </a:xfrm>
        <a:prstGeom prst="roundRect">
          <a:avLst/>
        </a:prstGeom>
        <a:solidFill>
          <a:srgbClr val="00B050"/>
        </a:solidFill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3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Rapor Siswa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277091</xdr:colOff>
      <xdr:row>3</xdr:row>
      <xdr:rowOff>34636</xdr:rowOff>
    </xdr:from>
    <xdr:to>
      <xdr:col>36</xdr:col>
      <xdr:colOff>588817</xdr:colOff>
      <xdr:row>7</xdr:row>
      <xdr:rowOff>86591</xdr:rowOff>
    </xdr:to>
    <xdr:sp macro="" textlink="">
      <xdr:nvSpPr>
        <xdr:cNvPr id="2" name="Left Arrow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5655636" y="917863"/>
          <a:ext cx="4554681" cy="2026228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oneCellAnchor>
    <xdr:from>
      <xdr:col>30</xdr:col>
      <xdr:colOff>277091</xdr:colOff>
      <xdr:row>4</xdr:row>
      <xdr:rowOff>284525</xdr:rowOff>
    </xdr:from>
    <xdr:ext cx="3913909" cy="968983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6261773" y="1462161"/>
          <a:ext cx="3913909" cy="96898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id-ID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editLah</a:t>
          </a:r>
          <a:r>
            <a:rPr lang="id-ID" sz="28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nama pelajaran</a:t>
          </a:r>
        </a:p>
        <a:p>
          <a:pPr algn="ctr"/>
          <a:r>
            <a:rPr lang="id-ID" sz="28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di "SHEET" KKM</a:t>
          </a:r>
          <a:endParaRPr lang="en-US" sz="2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13706</xdr:rowOff>
    </xdr:from>
    <xdr:to>
      <xdr:col>8</xdr:col>
      <xdr:colOff>156882</xdr:colOff>
      <xdr:row>6</xdr:row>
      <xdr:rowOff>46493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3706"/>
          <a:ext cx="6835587" cy="1444728"/>
        </a:xfrm>
        <a:prstGeom prst="rect">
          <a:avLst/>
        </a:prstGeom>
      </xdr:spPr>
    </xdr:pic>
    <xdr:clientData/>
  </xdr:twoCellAnchor>
  <xdr:twoCellAnchor>
    <xdr:from>
      <xdr:col>8</xdr:col>
      <xdr:colOff>157369</xdr:colOff>
      <xdr:row>16</xdr:row>
      <xdr:rowOff>16566</xdr:rowOff>
    </xdr:from>
    <xdr:to>
      <xdr:col>10</xdr:col>
      <xdr:colOff>134591</xdr:colOff>
      <xdr:row>17</xdr:row>
      <xdr:rowOff>178075</xdr:rowOff>
    </xdr:to>
    <xdr:sp macro="" textlink="">
      <xdr:nvSpPr>
        <xdr:cNvPr id="6" name="Rectangl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96144" y="3083616"/>
          <a:ext cx="1234522" cy="342484"/>
        </a:xfrm>
        <a:prstGeom prst="rect">
          <a:avLst/>
        </a:prstGeom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id-ID" sz="1100" b="1"/>
            <a:t>KE</a:t>
          </a:r>
          <a:r>
            <a:rPr lang="id-ID" sz="1100" b="1" baseline="0"/>
            <a:t> DATA SISWA</a:t>
          </a:r>
          <a:endParaRPr lang="id-ID" sz="1100" b="1"/>
        </a:p>
        <a:p>
          <a:pPr algn="ctr"/>
          <a:endParaRPr lang="id-ID" sz="1100" b="1"/>
        </a:p>
      </xdr:txBody>
    </xdr:sp>
    <xdr:clientData/>
  </xdr:twoCellAnchor>
  <xdr:oneCellAnchor>
    <xdr:from>
      <xdr:col>9</xdr:col>
      <xdr:colOff>3448</xdr:colOff>
      <xdr:row>9</xdr:row>
      <xdr:rowOff>113030</xdr:rowOff>
    </xdr:from>
    <xdr:ext cx="1523999" cy="297517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6984713" y="2219736"/>
          <a:ext cx="1523999" cy="29751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id-ID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haroni" panose="02010803020104030203" pitchFamily="2" charset="-79"/>
              <a:cs typeface="Aharoni" panose="02010803020104030203" pitchFamily="2" charset="-79"/>
            </a:rPr>
            <a:t>Absen Siswa</a:t>
          </a:r>
          <a:endParaRPr lang="en-US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haroni" panose="02010803020104030203" pitchFamily="2" charset="-79"/>
            <a:cs typeface="Aharoni" panose="02010803020104030203" pitchFamily="2" charset="-79"/>
          </a:endParaRPr>
        </a:p>
      </xdr:txBody>
    </xdr:sp>
    <xdr:clientData/>
  </xdr:oneCellAnchor>
  <xdr:twoCellAnchor>
    <xdr:from>
      <xdr:col>8</xdr:col>
      <xdr:colOff>168088</xdr:colOff>
      <xdr:row>17</xdr:row>
      <xdr:rowOff>201705</xdr:rowOff>
    </xdr:from>
    <xdr:to>
      <xdr:col>10</xdr:col>
      <xdr:colOff>123264</xdr:colOff>
      <xdr:row>21</xdr:row>
      <xdr:rowOff>11206</xdr:rowOff>
    </xdr:to>
    <xdr:sp macro="" textlink="">
      <xdr:nvSpPr>
        <xdr:cNvPr id="9" name="Rounded Rectangle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6398559" y="4224617"/>
          <a:ext cx="1815352" cy="638736"/>
        </a:xfrm>
        <a:prstGeom prst="roundRect">
          <a:avLst/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3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Edit KKM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209550</xdr:colOff>
          <xdr:row>10</xdr:row>
          <xdr:rowOff>200025</xdr:rowOff>
        </xdr:from>
        <xdr:to>
          <xdr:col>11</xdr:col>
          <xdr:colOff>390525</xdr:colOff>
          <xdr:row>13</xdr:row>
          <xdr:rowOff>219075</xdr:rowOff>
        </xdr:to>
        <xdr:sp macro="" textlink="">
          <xdr:nvSpPr>
            <xdr:cNvPr id="4097" name="Spinner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2</xdr:row>
      <xdr:rowOff>266700</xdr:rowOff>
    </xdr:from>
    <xdr:to>
      <xdr:col>3</xdr:col>
      <xdr:colOff>1009650</xdr:colOff>
      <xdr:row>4</xdr:row>
      <xdr:rowOff>38100</xdr:rowOff>
    </xdr:to>
    <xdr:sp macro="" textlink="">
      <xdr:nvSpPr>
        <xdr:cNvPr id="2" name="Right Arrow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724150" y="857250"/>
          <a:ext cx="419100" cy="457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lkidcom-pc\data\NILAI%20UTS%20V1.4%205a%20JUN%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SISWA"/>
      <sheetName val="REKAP NILAI"/>
      <sheetName val="Server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</sheetNames>
    <sheetDataSet>
      <sheetData sheetId="0">
        <row r="3">
          <cell r="D3" t="str">
            <v>SAHRONI,S.Pd.I</v>
          </cell>
        </row>
        <row r="10">
          <cell r="B10">
            <v>4121</v>
          </cell>
          <cell r="D10" t="str">
            <v>Lumajang</v>
          </cell>
          <cell r="E10">
            <v>38182</v>
          </cell>
          <cell r="F10" t="str">
            <v>Achmad Kamali Alfan</v>
          </cell>
        </row>
        <row r="11">
          <cell r="B11">
            <v>4090</v>
          </cell>
          <cell r="D11" t="str">
            <v>Lumajang</v>
          </cell>
          <cell r="E11">
            <v>37818</v>
          </cell>
          <cell r="F11" t="str">
            <v>Imam Nawawi</v>
          </cell>
        </row>
        <row r="12">
          <cell r="B12">
            <v>4124</v>
          </cell>
          <cell r="D12" t="str">
            <v>Lumajang</v>
          </cell>
          <cell r="E12">
            <v>37458</v>
          </cell>
          <cell r="F12" t="str">
            <v>Moch. Basuni</v>
          </cell>
        </row>
        <row r="13">
          <cell r="B13">
            <v>4091</v>
          </cell>
          <cell r="D13" t="str">
            <v>Lumajang</v>
          </cell>
          <cell r="E13">
            <v>37715</v>
          </cell>
          <cell r="F13" t="str">
            <v>Zainul Atim Slamet</v>
          </cell>
        </row>
        <row r="14">
          <cell r="B14">
            <v>4092</v>
          </cell>
          <cell r="D14" t="str">
            <v>Lumajang</v>
          </cell>
          <cell r="E14">
            <v>37808</v>
          </cell>
          <cell r="F14" t="str">
            <v>Slamet Riyadi</v>
          </cell>
        </row>
        <row r="15">
          <cell r="B15">
            <v>4093</v>
          </cell>
          <cell r="D15" t="str">
            <v>Lumajang</v>
          </cell>
          <cell r="E15">
            <v>37845</v>
          </cell>
          <cell r="F15" t="str">
            <v>Mochamad Amin</v>
          </cell>
        </row>
        <row r="16">
          <cell r="B16">
            <v>4136</v>
          </cell>
          <cell r="D16" t="str">
            <v>Lumajang</v>
          </cell>
          <cell r="E16">
            <v>37938</v>
          </cell>
          <cell r="F16" t="str">
            <v>Mukhamad Fauzi</v>
          </cell>
        </row>
        <row r="17">
          <cell r="B17">
            <v>4094</v>
          </cell>
          <cell r="D17" t="str">
            <v>Sidoarjo,</v>
          </cell>
          <cell r="E17">
            <v>37923</v>
          </cell>
        </row>
        <row r="18">
          <cell r="B18">
            <v>4095</v>
          </cell>
          <cell r="D18" t="str">
            <v>Lumajang</v>
          </cell>
          <cell r="E18">
            <v>37875</v>
          </cell>
          <cell r="F18" t="str">
            <v>Samsuhar</v>
          </cell>
        </row>
        <row r="19">
          <cell r="B19">
            <v>4135</v>
          </cell>
          <cell r="D19" t="str">
            <v>Lumajang</v>
          </cell>
          <cell r="E19">
            <v>37787</v>
          </cell>
          <cell r="F19" t="str">
            <v>Wahyudi</v>
          </cell>
        </row>
        <row r="20">
          <cell r="B20">
            <v>4096</v>
          </cell>
          <cell r="D20" t="str">
            <v>Lumajang</v>
          </cell>
          <cell r="E20">
            <v>37917</v>
          </cell>
          <cell r="F20" t="str">
            <v>Sukadi</v>
          </cell>
        </row>
        <row r="21">
          <cell r="B21">
            <v>4097</v>
          </cell>
          <cell r="D21" t="str">
            <v>Lumajang</v>
          </cell>
          <cell r="E21">
            <v>37929</v>
          </cell>
          <cell r="F21" t="str">
            <v>Zainul Muttaqin</v>
          </cell>
        </row>
        <row r="22">
          <cell r="B22">
            <v>4061</v>
          </cell>
          <cell r="D22" t="str">
            <v>Kampar</v>
          </cell>
          <cell r="E22">
            <v>37569</v>
          </cell>
          <cell r="F22" t="str">
            <v>Kastin</v>
          </cell>
        </row>
        <row r="23">
          <cell r="B23">
            <v>4099</v>
          </cell>
          <cell r="D23" t="str">
            <v>Lumajang</v>
          </cell>
          <cell r="E23">
            <v>37759</v>
          </cell>
          <cell r="F23" t="str">
            <v>Kholiqul Sulton</v>
          </cell>
        </row>
        <row r="24">
          <cell r="B24">
            <v>4101</v>
          </cell>
          <cell r="D24" t="str">
            <v>Lumajang</v>
          </cell>
          <cell r="E24">
            <v>37945</v>
          </cell>
          <cell r="F24" t="str">
            <v>Ngateno</v>
          </cell>
        </row>
        <row r="25">
          <cell r="B25">
            <v>4142</v>
          </cell>
          <cell r="D25" t="str">
            <v>Lumajang</v>
          </cell>
          <cell r="E25">
            <v>37957</v>
          </cell>
          <cell r="F25" t="str">
            <v>Rahmad Hidayat (Tr)</v>
          </cell>
        </row>
        <row r="26">
          <cell r="B26">
            <v>4102</v>
          </cell>
          <cell r="D26" t="str">
            <v>Lumajang</v>
          </cell>
          <cell r="E26">
            <v>37750</v>
          </cell>
          <cell r="F26" t="str">
            <v>Nadim</v>
          </cell>
        </row>
        <row r="27">
          <cell r="B27">
            <v>4103</v>
          </cell>
          <cell r="D27" t="str">
            <v>Lumajang</v>
          </cell>
          <cell r="E27">
            <v>37739</v>
          </cell>
          <cell r="F27" t="str">
            <v>Abdul Ghofur</v>
          </cell>
        </row>
        <row r="28">
          <cell r="B28">
            <v>4125</v>
          </cell>
          <cell r="D28" t="str">
            <v>Lumajang</v>
          </cell>
          <cell r="E28">
            <v>38066</v>
          </cell>
          <cell r="F28" t="str">
            <v>Sugiarto</v>
          </cell>
        </row>
        <row r="29">
          <cell r="B29">
            <v>4105</v>
          </cell>
          <cell r="D29" t="str">
            <v>Lumajang</v>
          </cell>
          <cell r="E29">
            <v>38039</v>
          </cell>
          <cell r="F29" t="str">
            <v>Zainul Arifin</v>
          </cell>
        </row>
        <row r="30">
          <cell r="B30">
            <v>4108</v>
          </cell>
          <cell r="D30" t="str">
            <v>Lumajang</v>
          </cell>
          <cell r="E30">
            <v>37839</v>
          </cell>
          <cell r="F30" t="str">
            <v>Amirudin</v>
          </cell>
        </row>
        <row r="31">
          <cell r="B31">
            <v>4140</v>
          </cell>
          <cell r="D31" t="str">
            <v>Lumajang</v>
          </cell>
          <cell r="E31">
            <v>37492</v>
          </cell>
          <cell r="F31" t="str">
            <v>Sumarno</v>
          </cell>
        </row>
        <row r="32">
          <cell r="B32">
            <v>4130</v>
          </cell>
          <cell r="D32" t="str">
            <v>Lumajang</v>
          </cell>
          <cell r="E32">
            <v>37592</v>
          </cell>
          <cell r="F32" t="str">
            <v>Mahmud</v>
          </cell>
        </row>
        <row r="33">
          <cell r="B33">
            <v>4112</v>
          </cell>
          <cell r="D33" t="str">
            <v>Lumajang</v>
          </cell>
          <cell r="E33">
            <v>37740</v>
          </cell>
          <cell r="F33" t="str">
            <v>Miftahul Hadi</v>
          </cell>
        </row>
        <row r="34">
          <cell r="B34">
            <v>4113</v>
          </cell>
          <cell r="D34" t="str">
            <v>Lumajang</v>
          </cell>
          <cell r="E34">
            <v>37941</v>
          </cell>
          <cell r="F34" t="str">
            <v>Mohamad Yusuf</v>
          </cell>
        </row>
        <row r="35">
          <cell r="B35">
            <v>4114</v>
          </cell>
          <cell r="D35" t="str">
            <v>Lumajang</v>
          </cell>
          <cell r="E35">
            <v>38145</v>
          </cell>
          <cell r="F35" t="str">
            <v>Timbul</v>
          </cell>
        </row>
        <row r="36">
          <cell r="B36">
            <v>4115</v>
          </cell>
          <cell r="D36" t="str">
            <v>Lumajang</v>
          </cell>
          <cell r="E36">
            <v>37902</v>
          </cell>
          <cell r="F36" t="str">
            <v>Masduki</v>
          </cell>
        </row>
        <row r="37">
          <cell r="B37">
            <v>4116</v>
          </cell>
          <cell r="D37" t="str">
            <v>Lumajang</v>
          </cell>
          <cell r="E37">
            <v>38007</v>
          </cell>
          <cell r="F37" t="str">
            <v>M. Khamdani Syaifullah</v>
          </cell>
        </row>
        <row r="38">
          <cell r="B38">
            <v>4117</v>
          </cell>
          <cell r="D38" t="str">
            <v>Lumajang</v>
          </cell>
          <cell r="E38">
            <v>37888</v>
          </cell>
          <cell r="F38" t="str">
            <v>Suyanto</v>
          </cell>
        </row>
      </sheetData>
      <sheetData sheetId="1">
        <row r="5">
          <cell r="C5" t="str">
            <v>Alquran Hadits</v>
          </cell>
        </row>
      </sheetData>
      <sheetData sheetId="2">
        <row r="8">
          <cell r="A8" t="str">
            <v>DAFTAR NILAI</v>
          </cell>
        </row>
        <row r="37">
          <cell r="B37" t="str">
            <v>Ektrakurikuler</v>
          </cell>
        </row>
        <row r="38">
          <cell r="B38" t="str">
            <v>a.</v>
          </cell>
        </row>
        <row r="39">
          <cell r="B39" t="str">
            <v>b.</v>
          </cell>
        </row>
        <row r="40">
          <cell r="B40" t="str">
            <v>c.</v>
          </cell>
        </row>
        <row r="41">
          <cell r="B41" t="str">
            <v>d.</v>
          </cell>
        </row>
        <row r="42">
          <cell r="B42" t="str">
            <v>JUMLAH</v>
          </cell>
        </row>
        <row r="43">
          <cell r="B43" t="str">
            <v>RATA-RATA</v>
          </cell>
          <cell r="F43" t="str">
            <v>RANGKING :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N210"/>
  <sheetViews>
    <sheetView tabSelected="1" view="pageBreakPreview" zoomScale="70" zoomScaleNormal="100" zoomScaleSheetLayoutView="70" workbookViewId="0">
      <selection activeCell="G20" sqref="G20"/>
    </sheetView>
  </sheetViews>
  <sheetFormatPr defaultRowHeight="15" x14ac:dyDescent="0.25"/>
  <cols>
    <col min="1" max="1" width="5" style="44" bestFit="1" customWidth="1"/>
    <col min="2" max="2" width="13.140625" style="44" bestFit="1" customWidth="1"/>
    <col min="3" max="3" width="41.140625" style="44" bestFit="1" customWidth="1"/>
    <col min="4" max="4" width="18.42578125" style="44" customWidth="1"/>
    <col min="5" max="5" width="23.42578125" style="44" bestFit="1" customWidth="1"/>
    <col min="6" max="6" width="27.5703125" style="44" bestFit="1" customWidth="1"/>
    <col min="7" max="8" width="55.28515625" style="43" bestFit="1" customWidth="1"/>
    <col min="9" max="9" width="55.28515625" style="43" customWidth="1"/>
    <col min="10" max="11" width="37.42578125" style="43" customWidth="1"/>
    <col min="12" max="13" width="24" style="43" customWidth="1"/>
    <col min="14" max="14" width="9.140625" style="43" customWidth="1"/>
    <col min="15" max="16384" width="9.140625" style="43"/>
  </cols>
  <sheetData>
    <row r="1" spans="1:14" ht="31.5" x14ac:dyDescent="0.25">
      <c r="A1" s="144" t="s">
        <v>0</v>
      </c>
      <c r="B1" s="144"/>
      <c r="C1" s="144"/>
      <c r="D1" s="144"/>
      <c r="E1" s="144"/>
      <c r="F1" s="144"/>
      <c r="H1" s="142" t="s">
        <v>106</v>
      </c>
      <c r="I1" s="142"/>
      <c r="J1" s="142"/>
      <c r="K1" s="142"/>
      <c r="L1" s="142"/>
      <c r="M1" s="142"/>
      <c r="N1" s="142"/>
    </row>
    <row r="2" spans="1:14" ht="24.75" x14ac:dyDescent="0.25">
      <c r="B2" s="141" t="s">
        <v>2</v>
      </c>
      <c r="C2" s="141"/>
      <c r="D2" s="55" t="s">
        <v>15</v>
      </c>
      <c r="E2" s="54" t="s">
        <v>3</v>
      </c>
      <c r="F2" s="54"/>
      <c r="G2" s="54"/>
      <c r="H2" s="142" t="s">
        <v>107</v>
      </c>
      <c r="I2" s="142"/>
      <c r="J2" s="142"/>
      <c r="K2" s="142"/>
      <c r="L2" s="142"/>
      <c r="M2" s="142"/>
      <c r="N2" s="142"/>
    </row>
    <row r="3" spans="1:14" ht="21" x14ac:dyDescent="0.25">
      <c r="B3" s="141" t="s">
        <v>93</v>
      </c>
      <c r="C3" s="141"/>
      <c r="D3" s="55" t="s">
        <v>15</v>
      </c>
      <c r="E3" s="54" t="s">
        <v>4</v>
      </c>
      <c r="F3" s="54"/>
      <c r="G3" s="54"/>
    </row>
    <row r="4" spans="1:14" ht="21" x14ac:dyDescent="0.25">
      <c r="B4" s="141" t="s">
        <v>5</v>
      </c>
      <c r="C4" s="141"/>
      <c r="D4" s="55" t="s">
        <v>15</v>
      </c>
      <c r="E4" s="143" t="s">
        <v>87</v>
      </c>
      <c r="F4" s="143"/>
      <c r="G4" s="54"/>
      <c r="J4" s="43" t="str">
        <f>B4&amp;" "&amp;E4</f>
        <v>KELAS IV (EMPAT) A</v>
      </c>
    </row>
    <row r="5" spans="1:14" ht="21" x14ac:dyDescent="0.25">
      <c r="B5" s="141" t="s">
        <v>6</v>
      </c>
      <c r="C5" s="141"/>
      <c r="D5" s="55" t="s">
        <v>15</v>
      </c>
      <c r="E5" s="54" t="s">
        <v>179</v>
      </c>
      <c r="F5" s="54"/>
      <c r="G5" s="54"/>
      <c r="J5" s="43" t="str">
        <f>B5&amp;" "&amp;E4</f>
        <v>WALI KELAS IV (EMPAT) A</v>
      </c>
    </row>
    <row r="6" spans="1:14" ht="21" x14ac:dyDescent="0.25">
      <c r="A6" s="45"/>
      <c r="B6" s="141" t="s">
        <v>70</v>
      </c>
      <c r="C6" s="141"/>
      <c r="D6" s="55" t="s">
        <v>15</v>
      </c>
      <c r="E6" s="143" t="s">
        <v>75</v>
      </c>
      <c r="F6" s="143"/>
      <c r="G6" s="54"/>
      <c r="I6" s="43" t="str">
        <f>B6&amp;" "&amp;E6</f>
        <v>SEMESTER I (GANJIL)</v>
      </c>
      <c r="J6" s="43" t="str">
        <f>E8&amp;" "&amp;E6</f>
        <v>UJIAN TENGAH SEMESTER I (GANJIL)</v>
      </c>
      <c r="K6" s="43" t="s">
        <v>81</v>
      </c>
      <c r="L6" s="43" t="s">
        <v>74</v>
      </c>
      <c r="M6" s="43" t="s">
        <v>77</v>
      </c>
      <c r="N6" s="43" t="s">
        <v>75</v>
      </c>
    </row>
    <row r="7" spans="1:14" ht="21" x14ac:dyDescent="0.25">
      <c r="A7" s="45"/>
      <c r="B7" s="141" t="s">
        <v>7</v>
      </c>
      <c r="C7" s="141"/>
      <c r="D7" s="55" t="s">
        <v>15</v>
      </c>
      <c r="E7" s="143" t="s">
        <v>78</v>
      </c>
      <c r="F7" s="143"/>
      <c r="G7" s="54"/>
      <c r="J7" s="43" t="str">
        <f>B7&amp;" "&amp;E7</f>
        <v>TAHUN PELAJARAN 2017/2018</v>
      </c>
      <c r="K7" s="43" t="s">
        <v>82</v>
      </c>
      <c r="L7" s="43" t="s">
        <v>73</v>
      </c>
      <c r="M7" s="43" t="s">
        <v>69</v>
      </c>
      <c r="N7" s="43" t="s">
        <v>71</v>
      </c>
    </row>
    <row r="8" spans="1:14" ht="21" x14ac:dyDescent="0.25">
      <c r="A8" s="45"/>
      <c r="B8" s="141" t="s">
        <v>72</v>
      </c>
      <c r="C8" s="141"/>
      <c r="D8" s="55" t="s">
        <v>15</v>
      </c>
      <c r="E8" s="143" t="s">
        <v>73</v>
      </c>
      <c r="F8" s="143"/>
      <c r="G8" s="54"/>
      <c r="K8" s="43" t="s">
        <v>83</v>
      </c>
      <c r="M8" s="43" t="s">
        <v>76</v>
      </c>
    </row>
    <row r="9" spans="1:14" ht="21" x14ac:dyDescent="0.25">
      <c r="A9" s="45"/>
      <c r="B9" s="141" t="s">
        <v>64</v>
      </c>
      <c r="C9" s="141"/>
      <c r="D9" s="55" t="s">
        <v>15</v>
      </c>
      <c r="E9" s="54" t="s">
        <v>180</v>
      </c>
      <c r="F9" s="54"/>
      <c r="G9" s="54"/>
      <c r="K9" s="43" t="s">
        <v>84</v>
      </c>
      <c r="M9" s="43" t="s">
        <v>78</v>
      </c>
    </row>
    <row r="10" spans="1:14" ht="35.25" customHeight="1" x14ac:dyDescent="0.25">
      <c r="A10" s="45"/>
      <c r="B10" s="45"/>
      <c r="C10" s="45"/>
      <c r="D10" s="45"/>
      <c r="E10" s="45"/>
      <c r="F10" s="45"/>
      <c r="K10" s="43" t="s">
        <v>85</v>
      </c>
      <c r="M10" s="43" t="s">
        <v>79</v>
      </c>
    </row>
    <row r="11" spans="1:14" ht="32.25" customHeight="1" x14ac:dyDescent="0.25">
      <c r="A11" s="46" t="s">
        <v>8</v>
      </c>
      <c r="B11" s="46" t="s">
        <v>9</v>
      </c>
      <c r="C11" s="46" t="s">
        <v>10</v>
      </c>
      <c r="D11" s="46" t="s">
        <v>11</v>
      </c>
      <c r="E11" s="46" t="s">
        <v>12</v>
      </c>
      <c r="F11" s="46" t="s">
        <v>13</v>
      </c>
      <c r="G11" s="52" t="s">
        <v>67</v>
      </c>
      <c r="H11" s="52" t="s">
        <v>68</v>
      </c>
      <c r="I11" s="52"/>
      <c r="K11" s="43" t="s">
        <v>86</v>
      </c>
      <c r="M11" s="43" t="s">
        <v>80</v>
      </c>
    </row>
    <row r="12" spans="1:14" s="48" customFormat="1" ht="15.75" x14ac:dyDescent="0.25">
      <c r="A12" s="47">
        <v>1</v>
      </c>
      <c r="B12" s="47">
        <v>2</v>
      </c>
      <c r="C12" s="47">
        <v>3</v>
      </c>
      <c r="D12" s="47">
        <v>4</v>
      </c>
      <c r="E12" s="47">
        <v>5</v>
      </c>
      <c r="F12" s="47">
        <v>6</v>
      </c>
      <c r="G12" s="47">
        <v>7</v>
      </c>
      <c r="H12" s="47">
        <v>8</v>
      </c>
      <c r="I12" s="47">
        <v>9</v>
      </c>
      <c r="J12" s="47">
        <v>10</v>
      </c>
      <c r="K12" s="43" t="s">
        <v>87</v>
      </c>
    </row>
    <row r="13" spans="1:14" ht="18.75" x14ac:dyDescent="0.25">
      <c r="A13" s="80">
        <v>1</v>
      </c>
      <c r="B13" s="106">
        <v>4331</v>
      </c>
      <c r="C13" s="98" t="s">
        <v>112</v>
      </c>
      <c r="D13" s="113" t="s">
        <v>144</v>
      </c>
      <c r="E13" s="122">
        <v>39395</v>
      </c>
      <c r="F13" s="127" t="s">
        <v>146</v>
      </c>
      <c r="G13" s="83" t="s">
        <v>110</v>
      </c>
      <c r="H13" s="83" t="s">
        <v>111</v>
      </c>
      <c r="I13" s="53"/>
      <c r="J13" s="51" t="str">
        <f>D13&amp;", "&amp;TEXT(E13,"dd mmmm yyyy")</f>
        <v>Lumajang, 09 November 2007</v>
      </c>
      <c r="K13" s="43" t="s">
        <v>88</v>
      </c>
    </row>
    <row r="14" spans="1:14" ht="18.75" x14ac:dyDescent="0.25">
      <c r="A14" s="49">
        <v>2</v>
      </c>
      <c r="B14" s="96">
        <v>4361</v>
      </c>
      <c r="C14" s="94" t="s">
        <v>113</v>
      </c>
      <c r="D14" s="114" t="s">
        <v>109</v>
      </c>
      <c r="E14" s="123">
        <v>39335</v>
      </c>
      <c r="F14" s="128" t="s">
        <v>147</v>
      </c>
      <c r="G14" s="53" t="s">
        <v>110</v>
      </c>
      <c r="H14" s="53" t="s">
        <v>111</v>
      </c>
      <c r="I14" s="53"/>
      <c r="J14" s="51" t="str">
        <f t="shared" ref="J14:J63" si="0">D14&amp;", "&amp;TEXT(E14,"dd mmmm yyyy")</f>
        <v>LUMAJANG, 10 September 2007</v>
      </c>
      <c r="K14" s="51" t="s">
        <v>89</v>
      </c>
    </row>
    <row r="15" spans="1:14" ht="18.75" x14ac:dyDescent="0.25">
      <c r="A15" s="80">
        <v>3</v>
      </c>
      <c r="B15" s="107">
        <v>4362</v>
      </c>
      <c r="C15" s="99" t="s">
        <v>114</v>
      </c>
      <c r="D15" s="115" t="s">
        <v>109</v>
      </c>
      <c r="E15" s="124">
        <v>39289</v>
      </c>
      <c r="F15" s="127" t="s">
        <v>148</v>
      </c>
      <c r="G15" s="83" t="s">
        <v>110</v>
      </c>
      <c r="H15" s="83" t="s">
        <v>111</v>
      </c>
      <c r="I15" s="53"/>
      <c r="J15" s="51" t="str">
        <f t="shared" si="0"/>
        <v>LUMAJANG, 26 Juli 2007</v>
      </c>
      <c r="K15" s="51" t="s">
        <v>90</v>
      </c>
    </row>
    <row r="16" spans="1:14" ht="18.75" x14ac:dyDescent="0.25">
      <c r="A16" s="49">
        <v>4</v>
      </c>
      <c r="B16" s="107">
        <v>4333</v>
      </c>
      <c r="C16" s="99" t="s">
        <v>115</v>
      </c>
      <c r="D16" s="115" t="s">
        <v>144</v>
      </c>
      <c r="E16" s="124">
        <v>39490</v>
      </c>
      <c r="F16" s="129" t="s">
        <v>149</v>
      </c>
      <c r="G16" s="53" t="s">
        <v>110</v>
      </c>
      <c r="H16" s="53" t="s">
        <v>111</v>
      </c>
      <c r="I16" s="53"/>
      <c r="J16" s="51" t="str">
        <f t="shared" si="0"/>
        <v>Lumajang, 12 Februari 2008</v>
      </c>
      <c r="K16" s="51" t="s">
        <v>91</v>
      </c>
    </row>
    <row r="17" spans="1:11" ht="18.75" x14ac:dyDescent="0.25">
      <c r="A17" s="80">
        <v>5</v>
      </c>
      <c r="B17" s="108">
        <v>4334</v>
      </c>
      <c r="C17" s="100" t="s">
        <v>116</v>
      </c>
      <c r="D17" s="116" t="s">
        <v>144</v>
      </c>
      <c r="E17" s="136">
        <v>39355</v>
      </c>
      <c r="F17" s="127" t="s">
        <v>150</v>
      </c>
      <c r="G17" s="83" t="s">
        <v>110</v>
      </c>
      <c r="H17" s="83" t="s">
        <v>111</v>
      </c>
      <c r="I17" s="53"/>
      <c r="J17" s="51" t="str">
        <f t="shared" si="0"/>
        <v>Lumajang, 30 September 2007</v>
      </c>
      <c r="K17" s="51" t="s">
        <v>92</v>
      </c>
    </row>
    <row r="18" spans="1:11" ht="18.75" x14ac:dyDescent="0.25">
      <c r="A18" s="49">
        <v>6</v>
      </c>
      <c r="B18" s="108">
        <v>4335</v>
      </c>
      <c r="C18" s="99" t="s">
        <v>117</v>
      </c>
      <c r="D18" s="117" t="s">
        <v>145</v>
      </c>
      <c r="E18" s="137">
        <v>39294</v>
      </c>
      <c r="F18" s="130" t="s">
        <v>151</v>
      </c>
      <c r="G18" s="53" t="s">
        <v>110</v>
      </c>
      <c r="H18" s="53" t="s">
        <v>111</v>
      </c>
      <c r="I18" s="53"/>
      <c r="J18" s="51" t="str">
        <f t="shared" si="0"/>
        <v>HANAU, 31 Juli 2007</v>
      </c>
      <c r="K18" s="51"/>
    </row>
    <row r="19" spans="1:11" ht="18.75" x14ac:dyDescent="0.25">
      <c r="A19" s="80">
        <v>7</v>
      </c>
      <c r="B19" s="107">
        <v>4336</v>
      </c>
      <c r="C19" s="99" t="s">
        <v>118</v>
      </c>
      <c r="D19" s="115" t="s">
        <v>144</v>
      </c>
      <c r="E19" s="124">
        <v>39222</v>
      </c>
      <c r="F19" s="127" t="s">
        <v>152</v>
      </c>
      <c r="G19" s="83" t="s">
        <v>110</v>
      </c>
      <c r="H19" s="83" t="s">
        <v>111</v>
      </c>
      <c r="I19" s="53"/>
      <c r="J19" s="51" t="str">
        <f t="shared" si="0"/>
        <v>Lumajang, 20 Mei 2007</v>
      </c>
      <c r="K19" s="51"/>
    </row>
    <row r="20" spans="1:11" ht="18.75" x14ac:dyDescent="0.25">
      <c r="A20" s="49">
        <v>8</v>
      </c>
      <c r="B20" s="107">
        <v>4337</v>
      </c>
      <c r="C20" s="101" t="s">
        <v>119</v>
      </c>
      <c r="D20" s="115" t="s">
        <v>144</v>
      </c>
      <c r="E20" s="124">
        <v>39233</v>
      </c>
      <c r="F20" s="131" t="s">
        <v>153</v>
      </c>
      <c r="G20" s="53" t="s">
        <v>110</v>
      </c>
      <c r="H20" s="53" t="s">
        <v>111</v>
      </c>
      <c r="I20" s="53"/>
      <c r="J20" s="51" t="str">
        <f t="shared" si="0"/>
        <v>Lumajang, 31 Mei 2007</v>
      </c>
      <c r="K20" s="51"/>
    </row>
    <row r="21" spans="1:11" ht="18.75" x14ac:dyDescent="0.25">
      <c r="A21" s="80">
        <v>9</v>
      </c>
      <c r="B21" s="108">
        <v>4365</v>
      </c>
      <c r="C21" s="102" t="s">
        <v>120</v>
      </c>
      <c r="D21" s="117" t="s">
        <v>109</v>
      </c>
      <c r="E21" s="138">
        <v>39584</v>
      </c>
      <c r="F21" s="130" t="s">
        <v>154</v>
      </c>
      <c r="G21" s="83" t="s">
        <v>110</v>
      </c>
      <c r="H21" s="83" t="s">
        <v>111</v>
      </c>
      <c r="I21" s="53"/>
      <c r="J21" s="51" t="str">
        <f t="shared" si="0"/>
        <v>LUMAJANG, 16 Mei 2008</v>
      </c>
      <c r="K21" s="51"/>
    </row>
    <row r="22" spans="1:11" ht="18.75" x14ac:dyDescent="0.25">
      <c r="A22" s="49">
        <v>10</v>
      </c>
      <c r="B22" s="108">
        <v>4338</v>
      </c>
      <c r="C22" s="99" t="s">
        <v>121</v>
      </c>
      <c r="D22" s="117" t="s">
        <v>144</v>
      </c>
      <c r="E22" s="137">
        <v>39220</v>
      </c>
      <c r="F22" s="130" t="s">
        <v>155</v>
      </c>
      <c r="G22" s="53" t="s">
        <v>110</v>
      </c>
      <c r="H22" s="53" t="s">
        <v>111</v>
      </c>
      <c r="I22" s="53"/>
      <c r="J22" s="51" t="str">
        <f t="shared" si="0"/>
        <v>Lumajang, 18 Mei 2007</v>
      </c>
      <c r="K22" s="51"/>
    </row>
    <row r="23" spans="1:11" ht="18.75" x14ac:dyDescent="0.25">
      <c r="A23" s="80">
        <v>11</v>
      </c>
      <c r="B23" s="107">
        <v>4465</v>
      </c>
      <c r="C23" s="101" t="s">
        <v>122</v>
      </c>
      <c r="D23" s="115" t="s">
        <v>109</v>
      </c>
      <c r="E23" s="124">
        <v>39308</v>
      </c>
      <c r="F23" s="131" t="s">
        <v>156</v>
      </c>
      <c r="G23" s="83" t="s">
        <v>110</v>
      </c>
      <c r="H23" s="83" t="s">
        <v>111</v>
      </c>
      <c r="I23" s="53"/>
      <c r="J23" s="51" t="str">
        <f t="shared" si="0"/>
        <v>LUMAJANG, 14 Agustus 2007</v>
      </c>
      <c r="K23" s="51"/>
    </row>
    <row r="24" spans="1:11" ht="18.75" x14ac:dyDescent="0.25">
      <c r="A24" s="49">
        <v>12</v>
      </c>
      <c r="B24" s="107">
        <v>4366</v>
      </c>
      <c r="C24" s="99" t="s">
        <v>123</v>
      </c>
      <c r="D24" s="115" t="s">
        <v>109</v>
      </c>
      <c r="E24" s="125">
        <v>39371</v>
      </c>
      <c r="F24" s="131" t="s">
        <v>157</v>
      </c>
      <c r="G24" s="53" t="s">
        <v>110</v>
      </c>
      <c r="H24" s="53" t="s">
        <v>111</v>
      </c>
      <c r="I24" s="53"/>
      <c r="J24" s="51" t="str">
        <f t="shared" si="0"/>
        <v>LUMAJANG, 16 Oktober 2007</v>
      </c>
      <c r="K24" s="51"/>
    </row>
    <row r="25" spans="1:11" ht="18.75" x14ac:dyDescent="0.25">
      <c r="A25" s="80">
        <v>13</v>
      </c>
      <c r="B25" s="107">
        <v>4367</v>
      </c>
      <c r="C25" s="99" t="s">
        <v>124</v>
      </c>
      <c r="D25" s="115" t="s">
        <v>109</v>
      </c>
      <c r="E25" s="124">
        <v>39373</v>
      </c>
      <c r="F25" s="127" t="s">
        <v>158</v>
      </c>
      <c r="G25" s="83" t="s">
        <v>110</v>
      </c>
      <c r="H25" s="83" t="s">
        <v>111</v>
      </c>
      <c r="I25" s="53"/>
      <c r="J25" s="51" t="str">
        <f t="shared" si="0"/>
        <v>LUMAJANG, 18 Oktober 2007</v>
      </c>
      <c r="K25" s="51"/>
    </row>
    <row r="26" spans="1:11" ht="18.75" x14ac:dyDescent="0.25">
      <c r="A26" s="49">
        <v>14</v>
      </c>
      <c r="B26" s="108">
        <v>4339</v>
      </c>
      <c r="C26" s="99" t="s">
        <v>125</v>
      </c>
      <c r="D26" s="117" t="s">
        <v>144</v>
      </c>
      <c r="E26" s="137">
        <v>39475</v>
      </c>
      <c r="F26" s="130" t="s">
        <v>159</v>
      </c>
      <c r="G26" s="53" t="s">
        <v>110</v>
      </c>
      <c r="H26" s="53" t="s">
        <v>111</v>
      </c>
      <c r="I26" s="53"/>
      <c r="J26" s="51" t="str">
        <f t="shared" si="0"/>
        <v>Lumajang, 28 Januari 2008</v>
      </c>
      <c r="K26" s="51"/>
    </row>
    <row r="27" spans="1:11" ht="18.75" x14ac:dyDescent="0.25">
      <c r="A27" s="80">
        <v>15</v>
      </c>
      <c r="B27" s="107">
        <v>4340</v>
      </c>
      <c r="C27" s="101" t="s">
        <v>126</v>
      </c>
      <c r="D27" s="115" t="s">
        <v>144</v>
      </c>
      <c r="E27" s="124">
        <v>39495</v>
      </c>
      <c r="F27" s="131" t="s">
        <v>160</v>
      </c>
      <c r="G27" s="83" t="s">
        <v>110</v>
      </c>
      <c r="H27" s="83" t="s">
        <v>111</v>
      </c>
      <c r="I27" s="53"/>
      <c r="J27" s="51" t="str">
        <f t="shared" si="0"/>
        <v>Lumajang, 17 Februari 2008</v>
      </c>
      <c r="K27" s="51"/>
    </row>
    <row r="28" spans="1:11" ht="18.75" x14ac:dyDescent="0.25">
      <c r="A28" s="49">
        <v>16</v>
      </c>
      <c r="B28" s="109">
        <v>4368</v>
      </c>
      <c r="C28" s="101" t="s">
        <v>127</v>
      </c>
      <c r="D28" s="115" t="s">
        <v>109</v>
      </c>
      <c r="E28" s="124">
        <v>39423</v>
      </c>
      <c r="F28" s="131" t="s">
        <v>161</v>
      </c>
      <c r="G28" s="53" t="s">
        <v>110</v>
      </c>
      <c r="H28" s="53" t="s">
        <v>111</v>
      </c>
      <c r="I28" s="53"/>
      <c r="J28" s="51" t="str">
        <f t="shared" si="0"/>
        <v>LUMAJANG, 07 Desember 2007</v>
      </c>
      <c r="K28" s="51"/>
    </row>
    <row r="29" spans="1:11" ht="18.75" x14ac:dyDescent="0.25">
      <c r="A29" s="80">
        <v>17</v>
      </c>
      <c r="B29" s="107">
        <v>4341</v>
      </c>
      <c r="C29" s="101" t="s">
        <v>128</v>
      </c>
      <c r="D29" s="115" t="s">
        <v>144</v>
      </c>
      <c r="E29" s="124">
        <v>39508</v>
      </c>
      <c r="F29" s="131" t="s">
        <v>162</v>
      </c>
      <c r="G29" s="83" t="s">
        <v>110</v>
      </c>
      <c r="H29" s="83" t="s">
        <v>111</v>
      </c>
      <c r="I29" s="53"/>
      <c r="J29" s="51" t="str">
        <f t="shared" si="0"/>
        <v>Lumajang, 01 Maret 2008</v>
      </c>
      <c r="K29" s="51"/>
    </row>
    <row r="30" spans="1:11" ht="18.75" x14ac:dyDescent="0.25">
      <c r="A30" s="49">
        <v>18</v>
      </c>
      <c r="B30" s="107">
        <v>4369</v>
      </c>
      <c r="C30" s="101" t="s">
        <v>129</v>
      </c>
      <c r="D30" s="115" t="s">
        <v>109</v>
      </c>
      <c r="E30" s="124">
        <v>39381</v>
      </c>
      <c r="F30" s="131" t="s">
        <v>163</v>
      </c>
      <c r="G30" s="53" t="s">
        <v>110</v>
      </c>
      <c r="H30" s="53" t="s">
        <v>111</v>
      </c>
      <c r="I30" s="53"/>
      <c r="J30" s="51" t="str">
        <f t="shared" si="0"/>
        <v>LUMAJANG, 26 Oktober 2007</v>
      </c>
      <c r="K30" s="51"/>
    </row>
    <row r="31" spans="1:11" ht="18.75" x14ac:dyDescent="0.25">
      <c r="A31" s="80">
        <v>19</v>
      </c>
      <c r="B31" s="109">
        <v>4370</v>
      </c>
      <c r="C31" s="101" t="s">
        <v>130</v>
      </c>
      <c r="D31" s="115" t="s">
        <v>109</v>
      </c>
      <c r="E31" s="124">
        <v>39206</v>
      </c>
      <c r="F31" s="131" t="s">
        <v>164</v>
      </c>
      <c r="G31" s="83" t="s">
        <v>110</v>
      </c>
      <c r="H31" s="83" t="s">
        <v>111</v>
      </c>
      <c r="I31" s="53"/>
      <c r="J31" s="51" t="str">
        <f t="shared" si="0"/>
        <v>LUMAJANG, 04 Mei 2007</v>
      </c>
      <c r="K31" s="51"/>
    </row>
    <row r="32" spans="1:11" ht="18.75" x14ac:dyDescent="0.25">
      <c r="A32" s="49">
        <v>20</v>
      </c>
      <c r="B32" s="110">
        <v>4343</v>
      </c>
      <c r="C32" s="103" t="s">
        <v>131</v>
      </c>
      <c r="D32" s="118" t="s">
        <v>144</v>
      </c>
      <c r="E32" s="126">
        <v>39196</v>
      </c>
      <c r="F32" s="132" t="s">
        <v>165</v>
      </c>
      <c r="G32" s="53" t="s">
        <v>110</v>
      </c>
      <c r="H32" s="53" t="s">
        <v>111</v>
      </c>
      <c r="I32" s="53"/>
      <c r="J32" s="51" t="str">
        <f t="shared" si="0"/>
        <v>Lumajang, 24 April 2007</v>
      </c>
      <c r="K32" s="51"/>
    </row>
    <row r="33" spans="1:11" ht="18.75" x14ac:dyDescent="0.25">
      <c r="A33" s="80">
        <v>21</v>
      </c>
      <c r="B33" s="107">
        <v>4344</v>
      </c>
      <c r="C33" s="101" t="s">
        <v>132</v>
      </c>
      <c r="D33" s="115" t="s">
        <v>109</v>
      </c>
      <c r="E33" s="124">
        <v>39409</v>
      </c>
      <c r="F33" s="131" t="s">
        <v>166</v>
      </c>
      <c r="G33" s="83" t="s">
        <v>110</v>
      </c>
      <c r="H33" s="83" t="s">
        <v>111</v>
      </c>
      <c r="I33" s="53"/>
      <c r="J33" s="51" t="str">
        <f t="shared" si="0"/>
        <v>LUMAJANG, 23 November 2007</v>
      </c>
      <c r="K33" s="51"/>
    </row>
    <row r="34" spans="1:11" ht="18.75" x14ac:dyDescent="0.25">
      <c r="A34" s="49">
        <v>22</v>
      </c>
      <c r="B34" s="108">
        <v>4345</v>
      </c>
      <c r="C34" s="102" t="s">
        <v>133</v>
      </c>
      <c r="D34" s="119" t="s">
        <v>144</v>
      </c>
      <c r="E34" s="136">
        <v>39275</v>
      </c>
      <c r="F34" s="130" t="s">
        <v>167</v>
      </c>
      <c r="G34" s="53" t="s">
        <v>110</v>
      </c>
      <c r="H34" s="53" t="s">
        <v>111</v>
      </c>
      <c r="I34" s="53"/>
      <c r="J34" s="51" t="str">
        <f t="shared" si="0"/>
        <v>Lumajang, 12 Juli 2007</v>
      </c>
      <c r="K34" s="51"/>
    </row>
    <row r="35" spans="1:11" ht="18.75" x14ac:dyDescent="0.25">
      <c r="A35" s="80">
        <v>23</v>
      </c>
      <c r="B35" s="107">
        <v>4371</v>
      </c>
      <c r="C35" s="101" t="s">
        <v>134</v>
      </c>
      <c r="D35" s="115" t="s">
        <v>109</v>
      </c>
      <c r="E35" s="124">
        <v>39266</v>
      </c>
      <c r="F35" s="131" t="s">
        <v>168</v>
      </c>
      <c r="G35" s="83" t="s">
        <v>110</v>
      </c>
      <c r="H35" s="83" t="s">
        <v>111</v>
      </c>
      <c r="I35" s="53"/>
      <c r="J35" s="51" t="str">
        <f t="shared" si="0"/>
        <v>LUMAJANG, 03 Juli 2007</v>
      </c>
      <c r="K35" s="51"/>
    </row>
    <row r="36" spans="1:11" ht="18.75" x14ac:dyDescent="0.25">
      <c r="A36" s="49">
        <v>24</v>
      </c>
      <c r="B36" s="111">
        <v>4372</v>
      </c>
      <c r="C36" s="104" t="s">
        <v>135</v>
      </c>
      <c r="D36" s="120" t="s">
        <v>109</v>
      </c>
      <c r="E36" s="139">
        <v>39456</v>
      </c>
      <c r="F36" s="133" t="s">
        <v>169</v>
      </c>
      <c r="G36" s="53" t="s">
        <v>110</v>
      </c>
      <c r="H36" s="53" t="s">
        <v>111</v>
      </c>
      <c r="I36" s="53"/>
      <c r="J36" s="51" t="str">
        <f t="shared" si="0"/>
        <v>LUMAJANG, 09 Januari 2008</v>
      </c>
      <c r="K36" s="51"/>
    </row>
    <row r="37" spans="1:11" ht="18.75" x14ac:dyDescent="0.25">
      <c r="A37" s="80">
        <v>25</v>
      </c>
      <c r="B37" s="107">
        <v>4304</v>
      </c>
      <c r="C37" s="99" t="s">
        <v>136</v>
      </c>
      <c r="D37" s="115" t="s">
        <v>109</v>
      </c>
      <c r="E37" s="125">
        <v>38707</v>
      </c>
      <c r="F37" s="131" t="s">
        <v>170</v>
      </c>
      <c r="G37" s="83" t="s">
        <v>110</v>
      </c>
      <c r="H37" s="83" t="s">
        <v>111</v>
      </c>
      <c r="I37" s="53"/>
      <c r="J37" s="51" t="str">
        <f t="shared" si="0"/>
        <v>LUMAJANG, 21 Desember 2005</v>
      </c>
      <c r="K37" s="51"/>
    </row>
    <row r="38" spans="1:11" ht="18.75" x14ac:dyDescent="0.25">
      <c r="A38" s="49">
        <v>26</v>
      </c>
      <c r="B38" s="107">
        <v>4346</v>
      </c>
      <c r="C38" s="99" t="s">
        <v>137</v>
      </c>
      <c r="D38" s="115" t="s">
        <v>144</v>
      </c>
      <c r="E38" s="124">
        <v>39313</v>
      </c>
      <c r="F38" s="131" t="s">
        <v>171</v>
      </c>
      <c r="G38" s="53" t="s">
        <v>110</v>
      </c>
      <c r="H38" s="53" t="s">
        <v>111</v>
      </c>
      <c r="I38" s="53"/>
      <c r="J38" s="51" t="str">
        <f t="shared" si="0"/>
        <v>Lumajang, 19 Agustus 2007</v>
      </c>
      <c r="K38" s="51"/>
    </row>
    <row r="39" spans="1:11" ht="18.75" x14ac:dyDescent="0.25">
      <c r="A39" s="80">
        <v>27</v>
      </c>
      <c r="B39" s="112">
        <v>4374</v>
      </c>
      <c r="C39" s="95" t="s">
        <v>138</v>
      </c>
      <c r="D39" s="121" t="s">
        <v>109</v>
      </c>
      <c r="E39" s="123">
        <v>39304</v>
      </c>
      <c r="F39" s="97" t="s">
        <v>172</v>
      </c>
      <c r="G39" s="83" t="s">
        <v>110</v>
      </c>
      <c r="H39" s="83" t="s">
        <v>111</v>
      </c>
      <c r="I39" s="53"/>
      <c r="J39" s="51" t="str">
        <f t="shared" si="0"/>
        <v>LUMAJANG, 10 Agustus 2007</v>
      </c>
      <c r="K39" s="51"/>
    </row>
    <row r="40" spans="1:11" ht="18.75" x14ac:dyDescent="0.25">
      <c r="A40" s="49">
        <v>28</v>
      </c>
      <c r="B40" s="107">
        <v>4305</v>
      </c>
      <c r="C40" s="102" t="s">
        <v>139</v>
      </c>
      <c r="D40" s="115" t="s">
        <v>109</v>
      </c>
      <c r="E40" s="125">
        <v>38909</v>
      </c>
      <c r="F40" s="131" t="s">
        <v>173</v>
      </c>
      <c r="G40" s="53" t="s">
        <v>110</v>
      </c>
      <c r="H40" s="53" t="s">
        <v>111</v>
      </c>
      <c r="I40" s="53"/>
      <c r="J40" s="51" t="str">
        <f t="shared" si="0"/>
        <v>LUMAJANG, 11 Juli 2006</v>
      </c>
      <c r="K40" s="51"/>
    </row>
    <row r="41" spans="1:11" ht="18.75" x14ac:dyDescent="0.25">
      <c r="A41" s="80">
        <v>29</v>
      </c>
      <c r="B41" s="107">
        <v>4530</v>
      </c>
      <c r="C41" s="105" t="s">
        <v>140</v>
      </c>
      <c r="D41" s="115" t="s">
        <v>144</v>
      </c>
      <c r="E41" s="125">
        <v>39411</v>
      </c>
      <c r="F41" s="131" t="s">
        <v>174</v>
      </c>
      <c r="G41" s="83" t="s">
        <v>110</v>
      </c>
      <c r="H41" s="83" t="s">
        <v>111</v>
      </c>
      <c r="I41" s="53"/>
      <c r="J41" s="51" t="str">
        <f t="shared" si="0"/>
        <v>Lumajang, 25 November 2007</v>
      </c>
      <c r="K41" s="51"/>
    </row>
    <row r="42" spans="1:11" ht="18.75" x14ac:dyDescent="0.25">
      <c r="A42" s="49">
        <v>30</v>
      </c>
      <c r="B42" s="49">
        <v>4351</v>
      </c>
      <c r="C42" s="55" t="s">
        <v>141</v>
      </c>
      <c r="D42" s="49" t="s">
        <v>144</v>
      </c>
      <c r="E42" s="50">
        <v>39291</v>
      </c>
      <c r="F42" s="49" t="s">
        <v>175</v>
      </c>
      <c r="G42" s="53" t="s">
        <v>110</v>
      </c>
      <c r="H42" s="53" t="s">
        <v>111</v>
      </c>
      <c r="I42" s="53"/>
      <c r="J42" s="51" t="str">
        <f t="shared" si="0"/>
        <v>Lumajang, 28 Juli 2007</v>
      </c>
      <c r="K42" s="51"/>
    </row>
    <row r="43" spans="1:11" ht="18.75" x14ac:dyDescent="0.25">
      <c r="A43" s="80">
        <v>31</v>
      </c>
      <c r="B43" s="80">
        <v>4354</v>
      </c>
      <c r="C43" s="81" t="s">
        <v>142</v>
      </c>
      <c r="D43" s="80" t="s">
        <v>144</v>
      </c>
      <c r="E43" s="82">
        <v>39307</v>
      </c>
      <c r="F43" s="80" t="s">
        <v>176</v>
      </c>
      <c r="G43" s="83" t="s">
        <v>110</v>
      </c>
      <c r="H43" s="83" t="s">
        <v>111</v>
      </c>
      <c r="I43" s="53"/>
      <c r="J43" s="51" t="str">
        <f t="shared" si="0"/>
        <v>Lumajang, 13 Agustus 2007</v>
      </c>
      <c r="K43" s="51"/>
    </row>
    <row r="44" spans="1:11" ht="18.75" x14ac:dyDescent="0.25">
      <c r="A44" s="49">
        <v>32</v>
      </c>
      <c r="B44" s="49">
        <v>4385</v>
      </c>
      <c r="C44" s="55" t="s">
        <v>143</v>
      </c>
      <c r="D44" s="49" t="s">
        <v>109</v>
      </c>
      <c r="E44" s="50">
        <v>39289</v>
      </c>
      <c r="F44" s="49" t="s">
        <v>177</v>
      </c>
      <c r="G44" s="53" t="s">
        <v>110</v>
      </c>
      <c r="H44" s="53" t="s">
        <v>111</v>
      </c>
      <c r="I44" s="53"/>
      <c r="J44" s="51" t="str">
        <f t="shared" si="0"/>
        <v>LUMAJANG, 26 Juli 2007</v>
      </c>
      <c r="K44" s="51"/>
    </row>
    <row r="45" spans="1:11" ht="18.75" x14ac:dyDescent="0.25">
      <c r="A45" s="80">
        <v>33</v>
      </c>
      <c r="B45" s="80">
        <v>4387</v>
      </c>
      <c r="C45" s="81" t="s">
        <v>108</v>
      </c>
      <c r="D45" s="80" t="s">
        <v>109</v>
      </c>
      <c r="E45" s="82">
        <v>39280</v>
      </c>
      <c r="F45" s="80" t="s">
        <v>178</v>
      </c>
      <c r="G45" s="83" t="s">
        <v>110</v>
      </c>
      <c r="H45" s="83" t="s">
        <v>111</v>
      </c>
      <c r="I45" s="53"/>
      <c r="J45" s="51" t="str">
        <f t="shared" si="0"/>
        <v>LUMAJANG, 17 Juli 2007</v>
      </c>
      <c r="K45" s="51"/>
    </row>
    <row r="46" spans="1:11" ht="18.75" x14ac:dyDescent="0.25">
      <c r="A46" s="49">
        <v>34</v>
      </c>
      <c r="B46" s="49"/>
      <c r="C46" s="55"/>
      <c r="D46" s="49"/>
      <c r="E46" s="50"/>
      <c r="F46" s="49"/>
      <c r="G46" s="53" t="s">
        <v>66</v>
      </c>
      <c r="H46" s="53" t="s">
        <v>111</v>
      </c>
      <c r="I46" s="53"/>
      <c r="J46" s="51" t="str">
        <f t="shared" si="0"/>
        <v>, 00 Januari 1900</v>
      </c>
      <c r="K46" s="51"/>
    </row>
    <row r="47" spans="1:11" ht="18.75" x14ac:dyDescent="0.25">
      <c r="A47" s="80">
        <v>35</v>
      </c>
      <c r="B47" s="80"/>
      <c r="C47" s="81"/>
      <c r="D47" s="80"/>
      <c r="E47" s="82"/>
      <c r="F47" s="80"/>
      <c r="G47" s="83" t="s">
        <v>66</v>
      </c>
      <c r="H47" s="83" t="s">
        <v>111</v>
      </c>
      <c r="I47" s="53"/>
      <c r="J47" s="51" t="str">
        <f t="shared" si="0"/>
        <v>, 00 Januari 1900</v>
      </c>
      <c r="K47" s="51"/>
    </row>
    <row r="48" spans="1:11" ht="18.75" x14ac:dyDescent="0.25">
      <c r="A48" s="49">
        <v>36</v>
      </c>
      <c r="B48" s="49"/>
      <c r="C48" s="55"/>
      <c r="D48" s="49"/>
      <c r="E48" s="50"/>
      <c r="F48" s="49"/>
      <c r="G48" s="53" t="s">
        <v>66</v>
      </c>
      <c r="H48" s="53" t="s">
        <v>111</v>
      </c>
      <c r="I48" s="53"/>
      <c r="J48" s="51" t="str">
        <f t="shared" si="0"/>
        <v>, 00 Januari 1900</v>
      </c>
      <c r="K48" s="51"/>
    </row>
    <row r="49" spans="1:11" ht="18.75" x14ac:dyDescent="0.25">
      <c r="A49" s="80">
        <v>37</v>
      </c>
      <c r="B49" s="80"/>
      <c r="C49" s="81"/>
      <c r="D49" s="80"/>
      <c r="E49" s="82"/>
      <c r="F49" s="80"/>
      <c r="G49" s="83" t="s">
        <v>66</v>
      </c>
      <c r="H49" s="83" t="s">
        <v>111</v>
      </c>
      <c r="I49" s="53"/>
      <c r="J49" s="51" t="str">
        <f t="shared" si="0"/>
        <v>, 00 Januari 1900</v>
      </c>
      <c r="K49" s="51"/>
    </row>
    <row r="50" spans="1:11" ht="18.75" x14ac:dyDescent="0.25">
      <c r="A50" s="49">
        <v>38</v>
      </c>
      <c r="B50" s="49"/>
      <c r="C50" s="55"/>
      <c r="D50" s="49"/>
      <c r="E50" s="50"/>
      <c r="F50" s="49"/>
      <c r="G50" s="53" t="s">
        <v>66</v>
      </c>
      <c r="H50" s="53" t="s">
        <v>111</v>
      </c>
      <c r="I50" s="53"/>
      <c r="J50" s="51" t="str">
        <f t="shared" si="0"/>
        <v>, 00 Januari 1900</v>
      </c>
      <c r="K50" s="51"/>
    </row>
    <row r="51" spans="1:11" ht="18.75" x14ac:dyDescent="0.25">
      <c r="A51" s="80">
        <v>39</v>
      </c>
      <c r="B51" s="80"/>
      <c r="C51" s="81"/>
      <c r="D51" s="80"/>
      <c r="E51" s="82"/>
      <c r="F51" s="80"/>
      <c r="G51" s="83" t="s">
        <v>66</v>
      </c>
      <c r="H51" s="83" t="s">
        <v>111</v>
      </c>
      <c r="I51" s="53"/>
      <c r="J51" s="51" t="str">
        <f t="shared" si="0"/>
        <v>, 00 Januari 1900</v>
      </c>
      <c r="K51" s="51"/>
    </row>
    <row r="52" spans="1:11" ht="18.75" x14ac:dyDescent="0.25">
      <c r="A52" s="49">
        <v>40</v>
      </c>
      <c r="B52" s="49"/>
      <c r="C52" s="55"/>
      <c r="D52" s="49"/>
      <c r="E52" s="50"/>
      <c r="F52" s="49"/>
      <c r="G52" s="53" t="s">
        <v>66</v>
      </c>
      <c r="H52" s="53" t="s">
        <v>111</v>
      </c>
      <c r="I52" s="53"/>
      <c r="J52" s="51" t="str">
        <f t="shared" si="0"/>
        <v>, 00 Januari 1900</v>
      </c>
      <c r="K52" s="51"/>
    </row>
    <row r="53" spans="1:11" ht="18.75" x14ac:dyDescent="0.25">
      <c r="A53" s="80">
        <v>41</v>
      </c>
      <c r="B53" s="80"/>
      <c r="C53" s="81"/>
      <c r="D53" s="80"/>
      <c r="E53" s="82"/>
      <c r="F53" s="80"/>
      <c r="G53" s="83" t="s">
        <v>66</v>
      </c>
      <c r="H53" s="83" t="s">
        <v>111</v>
      </c>
      <c r="I53" s="53"/>
      <c r="J53" s="51" t="str">
        <f t="shared" si="0"/>
        <v>, 00 Januari 1900</v>
      </c>
      <c r="K53" s="51"/>
    </row>
    <row r="54" spans="1:11" ht="18.75" x14ac:dyDescent="0.25">
      <c r="A54" s="49">
        <v>42</v>
      </c>
      <c r="B54" s="49"/>
      <c r="C54" s="55"/>
      <c r="D54" s="49"/>
      <c r="E54" s="50"/>
      <c r="F54" s="49"/>
      <c r="G54" s="53" t="s">
        <v>66</v>
      </c>
      <c r="H54" s="53" t="s">
        <v>111</v>
      </c>
      <c r="I54" s="53"/>
      <c r="J54" s="51" t="str">
        <f t="shared" si="0"/>
        <v>, 00 Januari 1900</v>
      </c>
      <c r="K54" s="51"/>
    </row>
    <row r="55" spans="1:11" ht="18.75" x14ac:dyDescent="0.25">
      <c r="A55" s="80">
        <v>43</v>
      </c>
      <c r="B55" s="80"/>
      <c r="C55" s="81"/>
      <c r="D55" s="80"/>
      <c r="E55" s="82"/>
      <c r="F55" s="80"/>
      <c r="G55" s="83" t="s">
        <v>66</v>
      </c>
      <c r="H55" s="83" t="s">
        <v>111</v>
      </c>
      <c r="I55" s="53"/>
      <c r="J55" s="51" t="str">
        <f t="shared" si="0"/>
        <v>, 00 Januari 1900</v>
      </c>
      <c r="K55" s="51"/>
    </row>
    <row r="56" spans="1:11" ht="18.75" x14ac:dyDescent="0.25">
      <c r="A56" s="49">
        <v>44</v>
      </c>
      <c r="B56" s="49"/>
      <c r="C56" s="55"/>
      <c r="D56" s="49"/>
      <c r="E56" s="50"/>
      <c r="F56" s="49"/>
      <c r="G56" s="53" t="s">
        <v>66</v>
      </c>
      <c r="H56" s="53" t="s">
        <v>111</v>
      </c>
      <c r="I56" s="53"/>
      <c r="J56" s="51" t="str">
        <f t="shared" si="0"/>
        <v>, 00 Januari 1900</v>
      </c>
      <c r="K56" s="51"/>
    </row>
    <row r="57" spans="1:11" ht="18.75" x14ac:dyDescent="0.25">
      <c r="A57" s="80">
        <v>45</v>
      </c>
      <c r="B57" s="80"/>
      <c r="C57" s="81"/>
      <c r="D57" s="80"/>
      <c r="E57" s="82"/>
      <c r="F57" s="80"/>
      <c r="G57" s="83" t="s">
        <v>66</v>
      </c>
      <c r="H57" s="83" t="s">
        <v>111</v>
      </c>
      <c r="I57" s="53"/>
      <c r="J57" s="51" t="str">
        <f t="shared" si="0"/>
        <v>, 00 Januari 1900</v>
      </c>
      <c r="K57" s="51"/>
    </row>
    <row r="58" spans="1:11" ht="18.75" x14ac:dyDescent="0.25">
      <c r="A58" s="49">
        <v>46</v>
      </c>
      <c r="B58" s="49"/>
      <c r="C58" s="55"/>
      <c r="D58" s="49"/>
      <c r="E58" s="50"/>
      <c r="F58" s="49"/>
      <c r="G58" s="53" t="s">
        <v>66</v>
      </c>
      <c r="H58" s="53" t="s">
        <v>111</v>
      </c>
      <c r="I58" s="53"/>
      <c r="J58" s="51" t="str">
        <f t="shared" si="0"/>
        <v>, 00 Januari 1900</v>
      </c>
      <c r="K58" s="51"/>
    </row>
    <row r="59" spans="1:11" ht="18.75" x14ac:dyDescent="0.25">
      <c r="A59" s="80">
        <v>47</v>
      </c>
      <c r="B59" s="80"/>
      <c r="C59" s="81"/>
      <c r="D59" s="80"/>
      <c r="E59" s="82"/>
      <c r="F59" s="80"/>
      <c r="G59" s="83" t="s">
        <v>66</v>
      </c>
      <c r="H59" s="83" t="s">
        <v>111</v>
      </c>
      <c r="I59" s="53"/>
      <c r="J59" s="51" t="str">
        <f t="shared" si="0"/>
        <v>, 00 Januari 1900</v>
      </c>
      <c r="K59" s="51"/>
    </row>
    <row r="60" spans="1:11" ht="18.75" x14ac:dyDescent="0.25">
      <c r="A60" s="49">
        <v>48</v>
      </c>
      <c r="B60" s="49"/>
      <c r="C60" s="55"/>
      <c r="D60" s="49"/>
      <c r="E60" s="50"/>
      <c r="F60" s="49"/>
      <c r="G60" s="53" t="s">
        <v>66</v>
      </c>
      <c r="H60" s="53" t="s">
        <v>111</v>
      </c>
      <c r="I60" s="53"/>
      <c r="J60" s="51" t="str">
        <f t="shared" si="0"/>
        <v>, 00 Januari 1900</v>
      </c>
      <c r="K60" s="51"/>
    </row>
    <row r="61" spans="1:11" ht="18.75" x14ac:dyDescent="0.25">
      <c r="A61" s="80">
        <v>49</v>
      </c>
      <c r="B61" s="80"/>
      <c r="C61" s="81"/>
      <c r="D61" s="80"/>
      <c r="E61" s="82"/>
      <c r="F61" s="80"/>
      <c r="G61" s="83" t="s">
        <v>66</v>
      </c>
      <c r="H61" s="83" t="s">
        <v>111</v>
      </c>
      <c r="I61" s="53"/>
      <c r="J61" s="51" t="str">
        <f t="shared" si="0"/>
        <v>, 00 Januari 1900</v>
      </c>
      <c r="K61" s="51"/>
    </row>
    <row r="62" spans="1:11" ht="18.75" x14ac:dyDescent="0.25">
      <c r="A62" s="49">
        <v>50</v>
      </c>
      <c r="B62" s="49"/>
      <c r="C62" s="55"/>
      <c r="D62" s="49"/>
      <c r="E62" s="50"/>
      <c r="F62" s="49"/>
      <c r="G62" s="53" t="s">
        <v>66</v>
      </c>
      <c r="H62" s="53" t="s">
        <v>111</v>
      </c>
      <c r="I62" s="53"/>
      <c r="J62" s="51" t="str">
        <f t="shared" si="0"/>
        <v>, 00 Januari 1900</v>
      </c>
      <c r="K62" s="51"/>
    </row>
    <row r="63" spans="1:11" ht="18.75" x14ac:dyDescent="0.25">
      <c r="A63" s="80">
        <v>51</v>
      </c>
      <c r="B63" s="80"/>
      <c r="C63" s="81"/>
      <c r="D63" s="80"/>
      <c r="E63" s="82"/>
      <c r="F63" s="80"/>
      <c r="G63" s="83" t="s">
        <v>66</v>
      </c>
      <c r="H63" s="83" t="s">
        <v>111</v>
      </c>
      <c r="I63" s="53"/>
      <c r="J63" s="51" t="str">
        <f t="shared" si="0"/>
        <v>, 00 Januari 1900</v>
      </c>
    </row>
    <row r="64" spans="1:11" ht="18.75" x14ac:dyDescent="0.25">
      <c r="A64" s="49">
        <v>52</v>
      </c>
      <c r="B64" s="49"/>
      <c r="C64" s="55"/>
      <c r="D64" s="49"/>
      <c r="E64" s="50"/>
      <c r="F64" s="49"/>
      <c r="G64" s="53" t="s">
        <v>66</v>
      </c>
      <c r="H64" s="53" t="s">
        <v>111</v>
      </c>
      <c r="I64" s="53"/>
    </row>
    <row r="65" spans="1:9" ht="18.75" x14ac:dyDescent="0.25">
      <c r="A65" s="80">
        <v>53</v>
      </c>
      <c r="B65" s="80"/>
      <c r="C65" s="81"/>
      <c r="D65" s="80"/>
      <c r="E65" s="82"/>
      <c r="F65" s="80"/>
      <c r="G65" s="83" t="s">
        <v>66</v>
      </c>
      <c r="H65" s="83" t="s">
        <v>111</v>
      </c>
      <c r="I65" s="53"/>
    </row>
    <row r="66" spans="1:9" ht="18.75" x14ac:dyDescent="0.25">
      <c r="A66" s="49">
        <v>54</v>
      </c>
      <c r="B66" s="49"/>
      <c r="C66" s="55"/>
      <c r="D66" s="49"/>
      <c r="E66" s="50"/>
      <c r="F66" s="49"/>
      <c r="G66" s="53" t="s">
        <v>66</v>
      </c>
      <c r="H66" s="53" t="s">
        <v>111</v>
      </c>
      <c r="I66" s="53"/>
    </row>
    <row r="67" spans="1:9" ht="18.75" x14ac:dyDescent="0.25">
      <c r="A67" s="80">
        <v>55</v>
      </c>
      <c r="B67" s="80"/>
      <c r="C67" s="81"/>
      <c r="D67" s="80"/>
      <c r="E67" s="82"/>
      <c r="F67" s="80"/>
      <c r="G67" s="83" t="s">
        <v>66</v>
      </c>
      <c r="H67" s="83" t="s">
        <v>111</v>
      </c>
      <c r="I67" s="53"/>
    </row>
    <row r="68" spans="1:9" ht="18.75" x14ac:dyDescent="0.25">
      <c r="A68" s="49">
        <v>56</v>
      </c>
      <c r="B68" s="49"/>
      <c r="C68" s="55"/>
      <c r="D68" s="49"/>
      <c r="E68" s="50"/>
      <c r="F68" s="49"/>
      <c r="G68" s="53" t="s">
        <v>66</v>
      </c>
      <c r="H68" s="53" t="s">
        <v>111</v>
      </c>
      <c r="I68" s="53"/>
    </row>
    <row r="69" spans="1:9" ht="18.75" x14ac:dyDescent="0.25">
      <c r="A69" s="80">
        <v>57</v>
      </c>
      <c r="B69" s="80"/>
      <c r="C69" s="81"/>
      <c r="D69" s="80"/>
      <c r="E69" s="82"/>
      <c r="F69" s="80"/>
      <c r="G69" s="83" t="s">
        <v>66</v>
      </c>
      <c r="H69" s="83" t="s">
        <v>111</v>
      </c>
      <c r="I69" s="53"/>
    </row>
    <row r="70" spans="1:9" ht="18.75" x14ac:dyDescent="0.25">
      <c r="A70" s="49">
        <v>58</v>
      </c>
      <c r="B70" s="49"/>
      <c r="C70" s="55"/>
      <c r="D70" s="49"/>
      <c r="E70" s="50"/>
      <c r="F70" s="49"/>
      <c r="G70" s="53" t="s">
        <v>66</v>
      </c>
      <c r="H70" s="53" t="s">
        <v>111</v>
      </c>
      <c r="I70" s="53"/>
    </row>
    <row r="71" spans="1:9" ht="18.75" x14ac:dyDescent="0.25">
      <c r="A71" s="80">
        <v>59</v>
      </c>
      <c r="B71" s="80"/>
      <c r="C71" s="81"/>
      <c r="D71" s="80"/>
      <c r="E71" s="82"/>
      <c r="F71" s="80"/>
      <c r="G71" s="83" t="s">
        <v>66</v>
      </c>
      <c r="H71" s="83" t="s">
        <v>111</v>
      </c>
      <c r="I71" s="53"/>
    </row>
    <row r="72" spans="1:9" ht="18.75" x14ac:dyDescent="0.25">
      <c r="A72" s="49">
        <v>60</v>
      </c>
      <c r="B72" s="49"/>
      <c r="C72" s="55"/>
      <c r="D72" s="49"/>
      <c r="E72" s="50"/>
      <c r="F72" s="49"/>
      <c r="G72" s="53" t="s">
        <v>66</v>
      </c>
      <c r="H72" s="53" t="s">
        <v>111</v>
      </c>
      <c r="I72" s="53"/>
    </row>
    <row r="73" spans="1:9" x14ac:dyDescent="0.25">
      <c r="H73" s="83"/>
    </row>
    <row r="74" spans="1:9" x14ac:dyDescent="0.25">
      <c r="H74" s="53"/>
    </row>
    <row r="75" spans="1:9" x14ac:dyDescent="0.25">
      <c r="H75" s="83"/>
    </row>
    <row r="76" spans="1:9" x14ac:dyDescent="0.25">
      <c r="H76" s="53"/>
    </row>
    <row r="77" spans="1:9" x14ac:dyDescent="0.25">
      <c r="H77" s="83"/>
    </row>
    <row r="78" spans="1:9" x14ac:dyDescent="0.25">
      <c r="H78" s="53"/>
    </row>
    <row r="79" spans="1:9" x14ac:dyDescent="0.25">
      <c r="H79" s="83"/>
    </row>
    <row r="80" spans="1:9" x14ac:dyDescent="0.25">
      <c r="H80" s="53"/>
    </row>
    <row r="81" spans="8:8" x14ac:dyDescent="0.25">
      <c r="H81" s="83"/>
    </row>
    <row r="82" spans="8:8" x14ac:dyDescent="0.25">
      <c r="H82" s="53"/>
    </row>
    <row r="83" spans="8:8" x14ac:dyDescent="0.25">
      <c r="H83" s="83"/>
    </row>
    <row r="84" spans="8:8" x14ac:dyDescent="0.25">
      <c r="H84" s="53"/>
    </row>
    <row r="85" spans="8:8" x14ac:dyDescent="0.25">
      <c r="H85" s="83"/>
    </row>
    <row r="86" spans="8:8" x14ac:dyDescent="0.25">
      <c r="H86" s="53"/>
    </row>
    <row r="87" spans="8:8" x14ac:dyDescent="0.25">
      <c r="H87" s="83"/>
    </row>
    <row r="88" spans="8:8" x14ac:dyDescent="0.25">
      <c r="H88" s="53"/>
    </row>
    <row r="89" spans="8:8" x14ac:dyDescent="0.25">
      <c r="H89" s="83"/>
    </row>
    <row r="90" spans="8:8" x14ac:dyDescent="0.25">
      <c r="H90" s="53"/>
    </row>
    <row r="91" spans="8:8" x14ac:dyDescent="0.25">
      <c r="H91" s="83"/>
    </row>
    <row r="92" spans="8:8" x14ac:dyDescent="0.25">
      <c r="H92" s="53"/>
    </row>
    <row r="93" spans="8:8" x14ac:dyDescent="0.25">
      <c r="H93" s="83"/>
    </row>
    <row r="94" spans="8:8" x14ac:dyDescent="0.25">
      <c r="H94" s="53"/>
    </row>
    <row r="95" spans="8:8" x14ac:dyDescent="0.25">
      <c r="H95" s="83"/>
    </row>
    <row r="96" spans="8:8" x14ac:dyDescent="0.25">
      <c r="H96" s="53"/>
    </row>
    <row r="97" spans="8:8" x14ac:dyDescent="0.25">
      <c r="H97" s="83"/>
    </row>
    <row r="98" spans="8:8" x14ac:dyDescent="0.25">
      <c r="H98" s="53"/>
    </row>
    <row r="99" spans="8:8" x14ac:dyDescent="0.25">
      <c r="H99" s="83"/>
    </row>
    <row r="100" spans="8:8" x14ac:dyDescent="0.25">
      <c r="H100" s="53"/>
    </row>
    <row r="101" spans="8:8" x14ac:dyDescent="0.25">
      <c r="H101" s="83"/>
    </row>
    <row r="102" spans="8:8" x14ac:dyDescent="0.25">
      <c r="H102" s="53"/>
    </row>
    <row r="103" spans="8:8" x14ac:dyDescent="0.25">
      <c r="H103" s="83"/>
    </row>
    <row r="104" spans="8:8" x14ac:dyDescent="0.25">
      <c r="H104" s="53"/>
    </row>
    <row r="105" spans="8:8" x14ac:dyDescent="0.25">
      <c r="H105" s="83"/>
    </row>
    <row r="106" spans="8:8" x14ac:dyDescent="0.25">
      <c r="H106" s="53"/>
    </row>
    <row r="107" spans="8:8" x14ac:dyDescent="0.25">
      <c r="H107" s="83"/>
    </row>
    <row r="108" spans="8:8" x14ac:dyDescent="0.25">
      <c r="H108" s="53"/>
    </row>
    <row r="109" spans="8:8" x14ac:dyDescent="0.25">
      <c r="H109" s="83"/>
    </row>
    <row r="110" spans="8:8" x14ac:dyDescent="0.25">
      <c r="H110" s="53"/>
    </row>
    <row r="111" spans="8:8" x14ac:dyDescent="0.25">
      <c r="H111" s="83"/>
    </row>
    <row r="112" spans="8:8" x14ac:dyDescent="0.25">
      <c r="H112" s="53"/>
    </row>
    <row r="113" spans="8:8" x14ac:dyDescent="0.25">
      <c r="H113" s="83"/>
    </row>
    <row r="114" spans="8:8" x14ac:dyDescent="0.25">
      <c r="H114" s="53"/>
    </row>
    <row r="115" spans="8:8" x14ac:dyDescent="0.25">
      <c r="H115" s="83"/>
    </row>
    <row r="116" spans="8:8" x14ac:dyDescent="0.25">
      <c r="H116" s="53"/>
    </row>
    <row r="117" spans="8:8" x14ac:dyDescent="0.25">
      <c r="H117" s="83"/>
    </row>
    <row r="118" spans="8:8" x14ac:dyDescent="0.25">
      <c r="H118" s="53"/>
    </row>
    <row r="119" spans="8:8" x14ac:dyDescent="0.25">
      <c r="H119" s="83"/>
    </row>
    <row r="120" spans="8:8" x14ac:dyDescent="0.25">
      <c r="H120" s="53"/>
    </row>
    <row r="121" spans="8:8" x14ac:dyDescent="0.25">
      <c r="H121" s="83"/>
    </row>
    <row r="122" spans="8:8" x14ac:dyDescent="0.25">
      <c r="H122" s="53"/>
    </row>
    <row r="123" spans="8:8" x14ac:dyDescent="0.25">
      <c r="H123" s="83"/>
    </row>
    <row r="124" spans="8:8" x14ac:dyDescent="0.25">
      <c r="H124" s="53"/>
    </row>
    <row r="125" spans="8:8" x14ac:dyDescent="0.25">
      <c r="H125" s="83"/>
    </row>
    <row r="126" spans="8:8" x14ac:dyDescent="0.25">
      <c r="H126" s="53"/>
    </row>
    <row r="127" spans="8:8" x14ac:dyDescent="0.25">
      <c r="H127" s="83"/>
    </row>
    <row r="128" spans="8:8" x14ac:dyDescent="0.25">
      <c r="H128" s="53"/>
    </row>
    <row r="129" spans="8:8" x14ac:dyDescent="0.25">
      <c r="H129" s="83"/>
    </row>
    <row r="130" spans="8:8" x14ac:dyDescent="0.25">
      <c r="H130" s="53"/>
    </row>
    <row r="131" spans="8:8" x14ac:dyDescent="0.25">
      <c r="H131" s="83"/>
    </row>
    <row r="132" spans="8:8" x14ac:dyDescent="0.25">
      <c r="H132" s="53"/>
    </row>
    <row r="133" spans="8:8" x14ac:dyDescent="0.25">
      <c r="H133" s="83"/>
    </row>
    <row r="134" spans="8:8" x14ac:dyDescent="0.25">
      <c r="H134" s="53"/>
    </row>
    <row r="135" spans="8:8" x14ac:dyDescent="0.25">
      <c r="H135" s="83"/>
    </row>
    <row r="136" spans="8:8" x14ac:dyDescent="0.25">
      <c r="H136" s="53"/>
    </row>
    <row r="137" spans="8:8" x14ac:dyDescent="0.25">
      <c r="H137" s="83"/>
    </row>
    <row r="138" spans="8:8" x14ac:dyDescent="0.25">
      <c r="H138" s="53"/>
    </row>
    <row r="139" spans="8:8" x14ac:dyDescent="0.25">
      <c r="H139" s="83"/>
    </row>
    <row r="140" spans="8:8" x14ac:dyDescent="0.25">
      <c r="H140" s="53"/>
    </row>
    <row r="141" spans="8:8" x14ac:dyDescent="0.25">
      <c r="H141" s="83"/>
    </row>
    <row r="142" spans="8:8" x14ac:dyDescent="0.25">
      <c r="H142" s="53"/>
    </row>
    <row r="143" spans="8:8" x14ac:dyDescent="0.25">
      <c r="H143" s="83"/>
    </row>
    <row r="144" spans="8:8" x14ac:dyDescent="0.25">
      <c r="H144" s="53"/>
    </row>
    <row r="145" spans="8:8" x14ac:dyDescent="0.25">
      <c r="H145" s="83"/>
    </row>
    <row r="146" spans="8:8" x14ac:dyDescent="0.25">
      <c r="H146" s="53"/>
    </row>
    <row r="147" spans="8:8" x14ac:dyDescent="0.25">
      <c r="H147" s="83"/>
    </row>
    <row r="148" spans="8:8" x14ac:dyDescent="0.25">
      <c r="H148" s="53"/>
    </row>
    <row r="149" spans="8:8" x14ac:dyDescent="0.25">
      <c r="H149" s="83"/>
    </row>
    <row r="150" spans="8:8" x14ac:dyDescent="0.25">
      <c r="H150" s="53"/>
    </row>
    <row r="151" spans="8:8" x14ac:dyDescent="0.25">
      <c r="H151" s="83"/>
    </row>
    <row r="152" spans="8:8" x14ac:dyDescent="0.25">
      <c r="H152" s="53"/>
    </row>
    <row r="153" spans="8:8" x14ac:dyDescent="0.25">
      <c r="H153" s="83"/>
    </row>
    <row r="154" spans="8:8" x14ac:dyDescent="0.25">
      <c r="H154" s="53"/>
    </row>
    <row r="155" spans="8:8" x14ac:dyDescent="0.25">
      <c r="H155" s="83"/>
    </row>
    <row r="156" spans="8:8" x14ac:dyDescent="0.25">
      <c r="H156" s="53"/>
    </row>
    <row r="157" spans="8:8" x14ac:dyDescent="0.25">
      <c r="H157" s="83"/>
    </row>
    <row r="158" spans="8:8" x14ac:dyDescent="0.25">
      <c r="H158" s="53"/>
    </row>
    <row r="159" spans="8:8" x14ac:dyDescent="0.25">
      <c r="H159" s="83"/>
    </row>
    <row r="160" spans="8:8" x14ac:dyDescent="0.25">
      <c r="H160" s="53"/>
    </row>
    <row r="161" spans="8:8" x14ac:dyDescent="0.25">
      <c r="H161" s="83"/>
    </row>
    <row r="162" spans="8:8" x14ac:dyDescent="0.25">
      <c r="H162" s="53"/>
    </row>
    <row r="163" spans="8:8" x14ac:dyDescent="0.25">
      <c r="H163" s="83"/>
    </row>
    <row r="164" spans="8:8" x14ac:dyDescent="0.25">
      <c r="H164" s="53"/>
    </row>
    <row r="165" spans="8:8" x14ac:dyDescent="0.25">
      <c r="H165" s="83"/>
    </row>
    <row r="166" spans="8:8" x14ac:dyDescent="0.25">
      <c r="H166" s="53"/>
    </row>
    <row r="167" spans="8:8" x14ac:dyDescent="0.25">
      <c r="H167" s="83"/>
    </row>
    <row r="168" spans="8:8" x14ac:dyDescent="0.25">
      <c r="H168" s="53"/>
    </row>
    <row r="169" spans="8:8" x14ac:dyDescent="0.25">
      <c r="H169" s="83"/>
    </row>
    <row r="170" spans="8:8" x14ac:dyDescent="0.25">
      <c r="H170" s="53"/>
    </row>
    <row r="171" spans="8:8" x14ac:dyDescent="0.25">
      <c r="H171" s="83"/>
    </row>
    <row r="172" spans="8:8" x14ac:dyDescent="0.25">
      <c r="H172" s="53"/>
    </row>
    <row r="173" spans="8:8" x14ac:dyDescent="0.25">
      <c r="H173" s="83"/>
    </row>
    <row r="174" spans="8:8" x14ac:dyDescent="0.25">
      <c r="H174" s="53"/>
    </row>
    <row r="175" spans="8:8" x14ac:dyDescent="0.25">
      <c r="H175" s="83"/>
    </row>
    <row r="176" spans="8:8" x14ac:dyDescent="0.25">
      <c r="H176" s="53"/>
    </row>
    <row r="177" spans="8:8" x14ac:dyDescent="0.25">
      <c r="H177" s="83"/>
    </row>
    <row r="178" spans="8:8" x14ac:dyDescent="0.25">
      <c r="H178" s="53"/>
    </row>
    <row r="179" spans="8:8" x14ac:dyDescent="0.25">
      <c r="H179" s="83"/>
    </row>
    <row r="180" spans="8:8" x14ac:dyDescent="0.25">
      <c r="H180" s="53"/>
    </row>
    <row r="181" spans="8:8" x14ac:dyDescent="0.25">
      <c r="H181" s="83"/>
    </row>
    <row r="182" spans="8:8" x14ac:dyDescent="0.25">
      <c r="H182" s="53"/>
    </row>
    <row r="183" spans="8:8" x14ac:dyDescent="0.25">
      <c r="H183" s="83"/>
    </row>
    <row r="184" spans="8:8" x14ac:dyDescent="0.25">
      <c r="H184" s="53"/>
    </row>
    <row r="185" spans="8:8" x14ac:dyDescent="0.25">
      <c r="H185" s="83"/>
    </row>
    <row r="186" spans="8:8" x14ac:dyDescent="0.25">
      <c r="H186" s="53"/>
    </row>
    <row r="187" spans="8:8" x14ac:dyDescent="0.25">
      <c r="H187" s="83"/>
    </row>
    <row r="188" spans="8:8" x14ac:dyDescent="0.25">
      <c r="H188" s="53"/>
    </row>
    <row r="189" spans="8:8" x14ac:dyDescent="0.25">
      <c r="H189" s="83"/>
    </row>
    <row r="190" spans="8:8" x14ac:dyDescent="0.25">
      <c r="H190" s="53"/>
    </row>
    <row r="191" spans="8:8" x14ac:dyDescent="0.25">
      <c r="H191" s="83"/>
    </row>
    <row r="192" spans="8:8" x14ac:dyDescent="0.25">
      <c r="H192" s="53"/>
    </row>
    <row r="193" spans="8:8" x14ac:dyDescent="0.25">
      <c r="H193" s="83"/>
    </row>
    <row r="194" spans="8:8" x14ac:dyDescent="0.25">
      <c r="H194" s="53"/>
    </row>
    <row r="195" spans="8:8" x14ac:dyDescent="0.25">
      <c r="H195" s="83"/>
    </row>
    <row r="196" spans="8:8" x14ac:dyDescent="0.25">
      <c r="H196" s="53"/>
    </row>
    <row r="197" spans="8:8" x14ac:dyDescent="0.25">
      <c r="H197" s="83"/>
    </row>
    <row r="198" spans="8:8" x14ac:dyDescent="0.25">
      <c r="H198" s="53"/>
    </row>
    <row r="199" spans="8:8" x14ac:dyDescent="0.25">
      <c r="H199" s="83"/>
    </row>
    <row r="200" spans="8:8" x14ac:dyDescent="0.25">
      <c r="H200" s="53"/>
    </row>
    <row r="201" spans="8:8" x14ac:dyDescent="0.25">
      <c r="H201" s="83"/>
    </row>
    <row r="202" spans="8:8" x14ac:dyDescent="0.25">
      <c r="H202" s="53"/>
    </row>
    <row r="203" spans="8:8" x14ac:dyDescent="0.25">
      <c r="H203" s="83"/>
    </row>
    <row r="204" spans="8:8" x14ac:dyDescent="0.25">
      <c r="H204" s="53"/>
    </row>
    <row r="205" spans="8:8" x14ac:dyDescent="0.25">
      <c r="H205" s="83"/>
    </row>
    <row r="206" spans="8:8" x14ac:dyDescent="0.25">
      <c r="H206" s="53"/>
    </row>
    <row r="207" spans="8:8" x14ac:dyDescent="0.25">
      <c r="H207" s="83"/>
    </row>
    <row r="208" spans="8:8" x14ac:dyDescent="0.25">
      <c r="H208" s="53"/>
    </row>
    <row r="209" spans="8:8" x14ac:dyDescent="0.25">
      <c r="H209" s="83"/>
    </row>
    <row r="210" spans="8:8" x14ac:dyDescent="0.25">
      <c r="H210" s="53"/>
    </row>
  </sheetData>
  <protectedRanges>
    <protectedRange sqref="E2:G9 G13:I14 I15:I72 H15:H210 G15:G41 B42:G72" name="EDIT"/>
    <protectedRange sqref="C38 C29:C30 C32:C35 C14:C20 C22:C27" name="all_2_1"/>
    <protectedRange sqref="C39" name="fill_1_1_1"/>
    <protectedRange sqref="C40" name="fill_1_5_1_1"/>
    <protectedRange sqref="C41" name="fill_1_6_1_1"/>
    <protectedRange sqref="C13" name="All_1_1_1"/>
    <protectedRange sqref="C28" name="All_2_1_1"/>
    <protectedRange sqref="C31" name="All_3_1"/>
    <protectedRange sqref="C36" name="All_4_1"/>
    <protectedRange sqref="C21" name="fill_1_7_2"/>
    <protectedRange sqref="B38 B29:B30 B32:B35 B14:B20 B22:B27" name="all_2_1_2"/>
    <protectedRange sqref="B39" name="fill_1_1_1_1"/>
    <protectedRange sqref="B40" name="fill_1_5_1_1_1"/>
    <protectedRange sqref="B41" name="fill_1_6_1_1_1"/>
    <protectedRange sqref="B13" name="All_1_1_1_1"/>
    <protectedRange sqref="B28" name="All_2_1_1_1"/>
    <protectedRange sqref="B31" name="All_3_1_1"/>
    <protectedRange sqref="B36" name="All_4_1_1"/>
    <protectedRange sqref="B21" name="fill_1_7_2_1"/>
    <protectedRange sqref="D38 D29:D30 D32:D35 D14:D20 D22:D27" name="all_2_1_3"/>
    <protectedRange sqref="D39" name="fill_1_1_1_2"/>
    <protectedRange sqref="D40" name="fill_1_5_1_1_2"/>
    <protectedRange sqref="D41" name="fill_1_6_1_1_2"/>
    <protectedRange sqref="D13" name="All_1_1_1_2"/>
    <protectedRange sqref="D28" name="All_2_1_1_2"/>
    <protectedRange sqref="D31" name="All_3_1_2"/>
    <protectedRange sqref="D36" name="All_4_1_2"/>
    <protectedRange sqref="D21" name="fill_1_7_2_2"/>
    <protectedRange sqref="E15:E20 E38 E29:E30 E32:E35 E22:E23 E25:E27" name="all_2_1_4"/>
    <protectedRange sqref="E39" name="fill_1_1_1_3"/>
    <protectedRange sqref="E40" name="fill_1_5_1_1_3"/>
    <protectedRange sqref="E41" name="fill_1_6_1_1_3"/>
    <protectedRange sqref="E13" name="All_1_1_1_3"/>
    <protectedRange sqref="E28" name="All_2_1_1_3"/>
    <protectedRange sqref="E31" name="All_3_1_3"/>
    <protectedRange sqref="E36" name="All_4_1_3"/>
    <protectedRange sqref="E21" name="fill_1_7_2_3"/>
    <protectedRange sqref="E14 E24" name="All_5"/>
    <protectedRange sqref="F38 F32:F35 F29:F30 F22:F27 F14:F20" name="all_2_1_5"/>
    <protectedRange sqref="F39" name="fill_1_1_1_4"/>
    <protectedRange sqref="F40" name="fill_1_5_1_1_4"/>
    <protectedRange sqref="F41" name="fill_1_6_1_1_4"/>
    <protectedRange sqref="F13" name="All_1_1_1_4"/>
    <protectedRange sqref="F28" name="All_2_1_1_4"/>
    <protectedRange sqref="F31" name="All_3_1_4"/>
    <protectedRange sqref="F36" name="All_4_1_4"/>
    <protectedRange sqref="F21" name="fill_1_7_2_4"/>
  </protectedRanges>
  <mergeCells count="15">
    <mergeCell ref="B9:C9"/>
    <mergeCell ref="B8:C8"/>
    <mergeCell ref="H1:N1"/>
    <mergeCell ref="B2:C2"/>
    <mergeCell ref="B3:C3"/>
    <mergeCell ref="B4:C4"/>
    <mergeCell ref="B5:C5"/>
    <mergeCell ref="E8:F8"/>
    <mergeCell ref="E6:F6"/>
    <mergeCell ref="E7:F7"/>
    <mergeCell ref="E4:F4"/>
    <mergeCell ref="A1:F1"/>
    <mergeCell ref="B6:C6"/>
    <mergeCell ref="B7:C7"/>
    <mergeCell ref="H2:N2"/>
  </mergeCells>
  <dataValidations count="4">
    <dataValidation type="list" allowBlank="1" showInputMessage="1" showErrorMessage="1" sqref="E8">
      <formula1>$L$6:$L$7</formula1>
    </dataValidation>
    <dataValidation type="list" allowBlank="1" showInputMessage="1" showErrorMessage="1" sqref="E6">
      <formula1>$N$6:$N$7</formula1>
    </dataValidation>
    <dataValidation type="list" allowBlank="1" showInputMessage="1" showErrorMessage="1" sqref="E7:F7">
      <formula1>$M$6:$M$11</formula1>
    </dataValidation>
    <dataValidation type="list" allowBlank="1" showInputMessage="1" showErrorMessage="1" sqref="E4:F4">
      <formula1>$K$6:$K$17</formula1>
    </dataValidation>
  </dataValidations>
  <pageMargins left="0.7" right="0.7" top="0.75" bottom="0.75" header="0.3" footer="0.3"/>
  <pageSetup paperSize="9" scale="54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25"/>
  <sheetViews>
    <sheetView view="pageBreakPreview" zoomScale="60" zoomScaleNormal="100" workbookViewId="0">
      <selection activeCell="D3" sqref="D3:D14"/>
    </sheetView>
  </sheetViews>
  <sheetFormatPr defaultRowHeight="15" x14ac:dyDescent="0.25"/>
  <cols>
    <col min="1" max="1" width="3.85546875" customWidth="1"/>
    <col min="2" max="2" width="31.28515625" bestFit="1" customWidth="1"/>
    <col min="3" max="3" width="2.5703125" bestFit="1" customWidth="1"/>
    <col min="4" max="4" width="14.5703125" customWidth="1"/>
  </cols>
  <sheetData>
    <row r="1" spans="1:4" ht="88.5" customHeight="1" x14ac:dyDescent="0.25">
      <c r="A1" s="17"/>
      <c r="B1" s="17"/>
      <c r="C1" s="17"/>
      <c r="D1" s="17"/>
    </row>
    <row r="2" spans="1:4" ht="18.75" x14ac:dyDescent="0.3">
      <c r="A2" s="18" t="s">
        <v>53</v>
      </c>
      <c r="B2" s="18"/>
      <c r="C2" s="18"/>
      <c r="D2" s="19"/>
    </row>
    <row r="3" spans="1:4" ht="18.75" x14ac:dyDescent="0.3">
      <c r="A3" s="18" t="s">
        <v>54</v>
      </c>
      <c r="B3" s="42" t="s">
        <v>20</v>
      </c>
      <c r="C3" s="18" t="s">
        <v>65</v>
      </c>
      <c r="D3" s="20">
        <v>70</v>
      </c>
    </row>
    <row r="4" spans="1:4" ht="18.75" x14ac:dyDescent="0.3">
      <c r="A4" s="18" t="s">
        <v>55</v>
      </c>
      <c r="B4" s="42" t="s">
        <v>21</v>
      </c>
      <c r="C4" s="18" t="s">
        <v>65</v>
      </c>
      <c r="D4" s="20">
        <v>70</v>
      </c>
    </row>
    <row r="5" spans="1:4" ht="18.75" x14ac:dyDescent="0.3">
      <c r="A5" s="18" t="s">
        <v>56</v>
      </c>
      <c r="B5" s="42" t="s">
        <v>22</v>
      </c>
      <c r="C5" s="18" t="s">
        <v>65</v>
      </c>
      <c r="D5" s="20">
        <v>70</v>
      </c>
    </row>
    <row r="6" spans="1:4" ht="18.75" x14ac:dyDescent="0.3">
      <c r="A6" s="18" t="s">
        <v>57</v>
      </c>
      <c r="B6" s="42" t="s">
        <v>23</v>
      </c>
      <c r="C6" s="18" t="s">
        <v>65</v>
      </c>
      <c r="D6" s="20">
        <v>70</v>
      </c>
    </row>
    <row r="7" spans="1:4" ht="18.75" x14ac:dyDescent="0.3">
      <c r="A7" s="42" t="s">
        <v>24</v>
      </c>
      <c r="B7" s="42"/>
      <c r="C7" s="18" t="s">
        <v>65</v>
      </c>
      <c r="D7" s="20">
        <v>70</v>
      </c>
    </row>
    <row r="8" spans="1:4" ht="18.75" x14ac:dyDescent="0.3">
      <c r="A8" s="42" t="s">
        <v>25</v>
      </c>
      <c r="B8" s="42"/>
      <c r="C8" s="18" t="s">
        <v>65</v>
      </c>
      <c r="D8" s="20">
        <v>70</v>
      </c>
    </row>
    <row r="9" spans="1:4" ht="18.75" x14ac:dyDescent="0.3">
      <c r="A9" s="42" t="s">
        <v>26</v>
      </c>
      <c r="B9" s="42"/>
      <c r="C9" s="18" t="s">
        <v>65</v>
      </c>
      <c r="D9" s="20">
        <v>70</v>
      </c>
    </row>
    <row r="10" spans="1:4" ht="18.75" x14ac:dyDescent="0.3">
      <c r="A10" s="42" t="s">
        <v>27</v>
      </c>
      <c r="B10" s="42"/>
      <c r="C10" s="18" t="s">
        <v>65</v>
      </c>
      <c r="D10" s="20">
        <v>70</v>
      </c>
    </row>
    <row r="11" spans="1:4" ht="18.75" x14ac:dyDescent="0.3">
      <c r="A11" s="42" t="s">
        <v>28</v>
      </c>
      <c r="B11" s="42"/>
      <c r="C11" s="18" t="s">
        <v>65</v>
      </c>
      <c r="D11" s="20">
        <v>70</v>
      </c>
    </row>
    <row r="12" spans="1:4" ht="18.75" x14ac:dyDescent="0.3">
      <c r="A12" s="42" t="s">
        <v>29</v>
      </c>
      <c r="B12" s="42"/>
      <c r="C12" s="18" t="s">
        <v>65</v>
      </c>
      <c r="D12" s="20">
        <v>70</v>
      </c>
    </row>
    <row r="13" spans="1:4" ht="18.75" x14ac:dyDescent="0.3">
      <c r="A13" s="42" t="s">
        <v>30</v>
      </c>
      <c r="B13" s="42"/>
      <c r="C13" s="18" t="s">
        <v>65</v>
      </c>
      <c r="D13" s="20">
        <v>75</v>
      </c>
    </row>
    <row r="14" spans="1:4" ht="18.75" x14ac:dyDescent="0.3">
      <c r="A14" s="42" t="s">
        <v>31</v>
      </c>
      <c r="B14" s="42"/>
      <c r="C14" s="18" t="s">
        <v>65</v>
      </c>
      <c r="D14" s="20">
        <v>75</v>
      </c>
    </row>
    <row r="15" spans="1:4" ht="18.75" x14ac:dyDescent="0.3">
      <c r="A15" s="18" t="s">
        <v>58</v>
      </c>
      <c r="B15" s="18"/>
      <c r="C15" s="18"/>
      <c r="D15" s="19"/>
    </row>
    <row r="16" spans="1:4" ht="18.75" x14ac:dyDescent="0.3">
      <c r="A16" s="18" t="s">
        <v>54</v>
      </c>
      <c r="B16" s="42" t="s">
        <v>32</v>
      </c>
      <c r="C16" s="18" t="s">
        <v>65</v>
      </c>
      <c r="D16" s="20">
        <v>70</v>
      </c>
    </row>
    <row r="17" spans="1:4" ht="18.75" x14ac:dyDescent="0.3">
      <c r="A17" s="18" t="s">
        <v>55</v>
      </c>
      <c r="B17" s="42" t="s">
        <v>33</v>
      </c>
      <c r="C17" s="18" t="s">
        <v>65</v>
      </c>
      <c r="D17" s="20">
        <v>65</v>
      </c>
    </row>
    <row r="18" spans="1:4" ht="18.75" x14ac:dyDescent="0.3">
      <c r="A18" s="18" t="s">
        <v>56</v>
      </c>
      <c r="B18" s="42" t="s">
        <v>34</v>
      </c>
      <c r="C18" s="18" t="s">
        <v>65</v>
      </c>
      <c r="D18" s="20">
        <v>70</v>
      </c>
    </row>
    <row r="19" spans="1:4" ht="18.75" x14ac:dyDescent="0.3">
      <c r="A19" s="18" t="s">
        <v>57</v>
      </c>
      <c r="B19" s="42" t="s">
        <v>35</v>
      </c>
      <c r="C19" s="18" t="s">
        <v>65</v>
      </c>
      <c r="D19" s="20">
        <v>70</v>
      </c>
    </row>
    <row r="20" spans="1:4" ht="18.75" x14ac:dyDescent="0.3">
      <c r="A20" s="18"/>
      <c r="B20" s="18"/>
      <c r="C20" s="18"/>
      <c r="D20" s="19"/>
    </row>
    <row r="21" spans="1:4" ht="18.75" x14ac:dyDescent="0.3">
      <c r="A21" s="18" t="s">
        <v>59</v>
      </c>
      <c r="B21" s="18"/>
      <c r="C21" s="18"/>
      <c r="D21" s="19"/>
    </row>
    <row r="22" spans="1:4" ht="18.75" x14ac:dyDescent="0.3">
      <c r="A22" s="18" t="s">
        <v>60</v>
      </c>
      <c r="B22" s="42" t="s">
        <v>36</v>
      </c>
      <c r="C22" s="18" t="s">
        <v>65</v>
      </c>
      <c r="D22" s="20"/>
    </row>
    <row r="23" spans="1:4" ht="18.75" x14ac:dyDescent="0.3">
      <c r="A23" s="18" t="s">
        <v>61</v>
      </c>
      <c r="B23" s="42" t="s">
        <v>37</v>
      </c>
      <c r="C23" s="18" t="s">
        <v>65</v>
      </c>
      <c r="D23" s="20"/>
    </row>
    <row r="24" spans="1:4" ht="18.75" x14ac:dyDescent="0.3">
      <c r="A24" s="18" t="s">
        <v>62</v>
      </c>
      <c r="B24" s="42"/>
      <c r="C24" s="18" t="s">
        <v>65</v>
      </c>
      <c r="D24" s="21"/>
    </row>
    <row r="25" spans="1:4" ht="18.75" x14ac:dyDescent="0.3">
      <c r="A25" s="18" t="s">
        <v>63</v>
      </c>
      <c r="B25" s="42"/>
      <c r="C25" s="18" t="s">
        <v>65</v>
      </c>
      <c r="D25" s="21"/>
    </row>
  </sheetData>
  <sheetProtection algorithmName="SHA-512" hashValue="M0YZcEc2terMsJjc3fWS3U3/aRVNHXTRlO54JDAwA6jjsqKX2MY1Y4o/kSpjBYPfNEbJeXUn+UFC1nWTwae89g==" saltValue="d3hZI0jyXYjSBVv8184RaA==" spinCount="100000" sheet="1" objects="1" scenarios="1"/>
  <protectedRanges>
    <protectedRange sqref="B3:B6 A7:B14 B16:B19 B22:B25" name="GANTI PELAJARAN"/>
    <protectedRange sqref="D3:D14 D16:D19 D22:D25" name="kkm"/>
  </protectedRanges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D66"/>
  <sheetViews>
    <sheetView view="pageBreakPreview" zoomScale="55" zoomScaleNormal="100" zoomScaleSheetLayoutView="55" workbookViewId="0">
      <selection activeCell="D3" sqref="D3"/>
    </sheetView>
  </sheetViews>
  <sheetFormatPr defaultRowHeight="23.1" customHeight="1" x14ac:dyDescent="0.25"/>
  <cols>
    <col min="1" max="1" width="6.85546875" style="1" customWidth="1"/>
    <col min="2" max="2" width="49.42578125" style="1" customWidth="1"/>
    <col min="3" max="22" width="7.5703125" style="1" customWidth="1"/>
    <col min="23" max="23" width="8.85546875" style="1" customWidth="1"/>
    <col min="24" max="25" width="7.5703125" style="1" customWidth="1"/>
    <col min="26" max="26" width="9.140625" style="1"/>
    <col min="27" max="27" width="20.140625" style="1" hidden="1" customWidth="1"/>
    <col min="28" max="28" width="22.28515625" style="1" hidden="1" customWidth="1"/>
    <col min="29" max="29" width="49.7109375" style="1" hidden="1" customWidth="1"/>
    <col min="30" max="30" width="0" style="1" hidden="1" customWidth="1"/>
    <col min="31" max="238" width="9.140625" style="1"/>
    <col min="239" max="239" width="6.85546875" style="1" customWidth="1"/>
    <col min="240" max="240" width="44.42578125" style="1" customWidth="1"/>
    <col min="241" max="280" width="4.5703125" style="1" customWidth="1"/>
    <col min="281" max="281" width="7.5703125" style="1" customWidth="1"/>
    <col min="282" max="494" width="9.140625" style="1"/>
    <col min="495" max="495" width="6.85546875" style="1" customWidth="1"/>
    <col min="496" max="496" width="44.42578125" style="1" customWidth="1"/>
    <col min="497" max="536" width="4.5703125" style="1" customWidth="1"/>
    <col min="537" max="537" width="7.5703125" style="1" customWidth="1"/>
    <col min="538" max="750" width="9.140625" style="1"/>
    <col min="751" max="751" width="6.85546875" style="1" customWidth="1"/>
    <col min="752" max="752" width="44.42578125" style="1" customWidth="1"/>
    <col min="753" max="792" width="4.5703125" style="1" customWidth="1"/>
    <col min="793" max="793" width="7.5703125" style="1" customWidth="1"/>
    <col min="794" max="1006" width="9.140625" style="1"/>
    <col min="1007" max="1007" width="6.85546875" style="1" customWidth="1"/>
    <col min="1008" max="1008" width="44.42578125" style="1" customWidth="1"/>
    <col min="1009" max="1048" width="4.5703125" style="1" customWidth="1"/>
    <col min="1049" max="1049" width="7.5703125" style="1" customWidth="1"/>
    <col min="1050" max="1262" width="9.140625" style="1"/>
    <col min="1263" max="1263" width="6.85546875" style="1" customWidth="1"/>
    <col min="1264" max="1264" width="44.42578125" style="1" customWidth="1"/>
    <col min="1265" max="1304" width="4.5703125" style="1" customWidth="1"/>
    <col min="1305" max="1305" width="7.5703125" style="1" customWidth="1"/>
    <col min="1306" max="1518" width="9.140625" style="1"/>
    <col min="1519" max="1519" width="6.85546875" style="1" customWidth="1"/>
    <col min="1520" max="1520" width="44.42578125" style="1" customWidth="1"/>
    <col min="1521" max="1560" width="4.5703125" style="1" customWidth="1"/>
    <col min="1561" max="1561" width="7.5703125" style="1" customWidth="1"/>
    <col min="1562" max="1774" width="9.140625" style="1"/>
    <col min="1775" max="1775" width="6.85546875" style="1" customWidth="1"/>
    <col min="1776" max="1776" width="44.42578125" style="1" customWidth="1"/>
    <col min="1777" max="1816" width="4.5703125" style="1" customWidth="1"/>
    <col min="1817" max="1817" width="7.5703125" style="1" customWidth="1"/>
    <col min="1818" max="2030" width="9.140625" style="1"/>
    <col min="2031" max="2031" width="6.85546875" style="1" customWidth="1"/>
    <col min="2032" max="2032" width="44.42578125" style="1" customWidth="1"/>
    <col min="2033" max="2072" width="4.5703125" style="1" customWidth="1"/>
    <col min="2073" max="2073" width="7.5703125" style="1" customWidth="1"/>
    <col min="2074" max="2286" width="9.140625" style="1"/>
    <col min="2287" max="2287" width="6.85546875" style="1" customWidth="1"/>
    <col min="2288" max="2288" width="44.42578125" style="1" customWidth="1"/>
    <col min="2289" max="2328" width="4.5703125" style="1" customWidth="1"/>
    <col min="2329" max="2329" width="7.5703125" style="1" customWidth="1"/>
    <col min="2330" max="2542" width="9.140625" style="1"/>
    <col min="2543" max="2543" width="6.85546875" style="1" customWidth="1"/>
    <col min="2544" max="2544" width="44.42578125" style="1" customWidth="1"/>
    <col min="2545" max="2584" width="4.5703125" style="1" customWidth="1"/>
    <col min="2585" max="2585" width="7.5703125" style="1" customWidth="1"/>
    <col min="2586" max="2798" width="9.140625" style="1"/>
    <col min="2799" max="2799" width="6.85546875" style="1" customWidth="1"/>
    <col min="2800" max="2800" width="44.42578125" style="1" customWidth="1"/>
    <col min="2801" max="2840" width="4.5703125" style="1" customWidth="1"/>
    <col min="2841" max="2841" width="7.5703125" style="1" customWidth="1"/>
    <col min="2842" max="3054" width="9.140625" style="1"/>
    <col min="3055" max="3055" width="6.85546875" style="1" customWidth="1"/>
    <col min="3056" max="3056" width="44.42578125" style="1" customWidth="1"/>
    <col min="3057" max="3096" width="4.5703125" style="1" customWidth="1"/>
    <col min="3097" max="3097" width="7.5703125" style="1" customWidth="1"/>
    <col min="3098" max="3310" width="9.140625" style="1"/>
    <col min="3311" max="3311" width="6.85546875" style="1" customWidth="1"/>
    <col min="3312" max="3312" width="44.42578125" style="1" customWidth="1"/>
    <col min="3313" max="3352" width="4.5703125" style="1" customWidth="1"/>
    <col min="3353" max="3353" width="7.5703125" style="1" customWidth="1"/>
    <col min="3354" max="3566" width="9.140625" style="1"/>
    <col min="3567" max="3567" width="6.85546875" style="1" customWidth="1"/>
    <col min="3568" max="3568" width="44.42578125" style="1" customWidth="1"/>
    <col min="3569" max="3608" width="4.5703125" style="1" customWidth="1"/>
    <col min="3609" max="3609" width="7.5703125" style="1" customWidth="1"/>
    <col min="3610" max="3822" width="9.140625" style="1"/>
    <col min="3823" max="3823" width="6.85546875" style="1" customWidth="1"/>
    <col min="3824" max="3824" width="44.42578125" style="1" customWidth="1"/>
    <col min="3825" max="3864" width="4.5703125" style="1" customWidth="1"/>
    <col min="3865" max="3865" width="7.5703125" style="1" customWidth="1"/>
    <col min="3866" max="4078" width="9.140625" style="1"/>
    <col min="4079" max="4079" width="6.85546875" style="1" customWidth="1"/>
    <col min="4080" max="4080" width="44.42578125" style="1" customWidth="1"/>
    <col min="4081" max="4120" width="4.5703125" style="1" customWidth="1"/>
    <col min="4121" max="4121" width="7.5703125" style="1" customWidth="1"/>
    <col min="4122" max="4334" width="9.140625" style="1"/>
    <col min="4335" max="4335" width="6.85546875" style="1" customWidth="1"/>
    <col min="4336" max="4336" width="44.42578125" style="1" customWidth="1"/>
    <col min="4337" max="4376" width="4.5703125" style="1" customWidth="1"/>
    <col min="4377" max="4377" width="7.5703125" style="1" customWidth="1"/>
    <col min="4378" max="4590" width="9.140625" style="1"/>
    <col min="4591" max="4591" width="6.85546875" style="1" customWidth="1"/>
    <col min="4592" max="4592" width="44.42578125" style="1" customWidth="1"/>
    <col min="4593" max="4632" width="4.5703125" style="1" customWidth="1"/>
    <col min="4633" max="4633" width="7.5703125" style="1" customWidth="1"/>
    <col min="4634" max="4846" width="9.140625" style="1"/>
    <col min="4847" max="4847" width="6.85546875" style="1" customWidth="1"/>
    <col min="4848" max="4848" width="44.42578125" style="1" customWidth="1"/>
    <col min="4849" max="4888" width="4.5703125" style="1" customWidth="1"/>
    <col min="4889" max="4889" width="7.5703125" style="1" customWidth="1"/>
    <col min="4890" max="5102" width="9.140625" style="1"/>
    <col min="5103" max="5103" width="6.85546875" style="1" customWidth="1"/>
    <col min="5104" max="5104" width="44.42578125" style="1" customWidth="1"/>
    <col min="5105" max="5144" width="4.5703125" style="1" customWidth="1"/>
    <col min="5145" max="5145" width="7.5703125" style="1" customWidth="1"/>
    <col min="5146" max="5358" width="9.140625" style="1"/>
    <col min="5359" max="5359" width="6.85546875" style="1" customWidth="1"/>
    <col min="5360" max="5360" width="44.42578125" style="1" customWidth="1"/>
    <col min="5361" max="5400" width="4.5703125" style="1" customWidth="1"/>
    <col min="5401" max="5401" width="7.5703125" style="1" customWidth="1"/>
    <col min="5402" max="5614" width="9.140625" style="1"/>
    <col min="5615" max="5615" width="6.85546875" style="1" customWidth="1"/>
    <col min="5616" max="5616" width="44.42578125" style="1" customWidth="1"/>
    <col min="5617" max="5656" width="4.5703125" style="1" customWidth="1"/>
    <col min="5657" max="5657" width="7.5703125" style="1" customWidth="1"/>
    <col min="5658" max="5870" width="9.140625" style="1"/>
    <col min="5871" max="5871" width="6.85546875" style="1" customWidth="1"/>
    <col min="5872" max="5872" width="44.42578125" style="1" customWidth="1"/>
    <col min="5873" max="5912" width="4.5703125" style="1" customWidth="1"/>
    <col min="5913" max="5913" width="7.5703125" style="1" customWidth="1"/>
    <col min="5914" max="6126" width="9.140625" style="1"/>
    <col min="6127" max="6127" width="6.85546875" style="1" customWidth="1"/>
    <col min="6128" max="6128" width="44.42578125" style="1" customWidth="1"/>
    <col min="6129" max="6168" width="4.5703125" style="1" customWidth="1"/>
    <col min="6169" max="6169" width="7.5703125" style="1" customWidth="1"/>
    <col min="6170" max="6382" width="9.140625" style="1"/>
    <col min="6383" max="6383" width="6.85546875" style="1" customWidth="1"/>
    <col min="6384" max="6384" width="44.42578125" style="1" customWidth="1"/>
    <col min="6385" max="6424" width="4.5703125" style="1" customWidth="1"/>
    <col min="6425" max="6425" width="7.5703125" style="1" customWidth="1"/>
    <col min="6426" max="6638" width="9.140625" style="1"/>
    <col min="6639" max="6639" width="6.85546875" style="1" customWidth="1"/>
    <col min="6640" max="6640" width="44.42578125" style="1" customWidth="1"/>
    <col min="6641" max="6680" width="4.5703125" style="1" customWidth="1"/>
    <col min="6681" max="6681" width="7.5703125" style="1" customWidth="1"/>
    <col min="6682" max="6894" width="9.140625" style="1"/>
    <col min="6895" max="6895" width="6.85546875" style="1" customWidth="1"/>
    <col min="6896" max="6896" width="44.42578125" style="1" customWidth="1"/>
    <col min="6897" max="6936" width="4.5703125" style="1" customWidth="1"/>
    <col min="6937" max="6937" width="7.5703125" style="1" customWidth="1"/>
    <col min="6938" max="7150" width="9.140625" style="1"/>
    <col min="7151" max="7151" width="6.85546875" style="1" customWidth="1"/>
    <col min="7152" max="7152" width="44.42578125" style="1" customWidth="1"/>
    <col min="7153" max="7192" width="4.5703125" style="1" customWidth="1"/>
    <col min="7193" max="7193" width="7.5703125" style="1" customWidth="1"/>
    <col min="7194" max="7406" width="9.140625" style="1"/>
    <col min="7407" max="7407" width="6.85546875" style="1" customWidth="1"/>
    <col min="7408" max="7408" width="44.42578125" style="1" customWidth="1"/>
    <col min="7409" max="7448" width="4.5703125" style="1" customWidth="1"/>
    <col min="7449" max="7449" width="7.5703125" style="1" customWidth="1"/>
    <col min="7450" max="7662" width="9.140625" style="1"/>
    <col min="7663" max="7663" width="6.85546875" style="1" customWidth="1"/>
    <col min="7664" max="7664" width="44.42578125" style="1" customWidth="1"/>
    <col min="7665" max="7704" width="4.5703125" style="1" customWidth="1"/>
    <col min="7705" max="7705" width="7.5703125" style="1" customWidth="1"/>
    <col min="7706" max="7918" width="9.140625" style="1"/>
    <col min="7919" max="7919" width="6.85546875" style="1" customWidth="1"/>
    <col min="7920" max="7920" width="44.42578125" style="1" customWidth="1"/>
    <col min="7921" max="7960" width="4.5703125" style="1" customWidth="1"/>
    <col min="7961" max="7961" width="7.5703125" style="1" customWidth="1"/>
    <col min="7962" max="8174" width="9.140625" style="1"/>
    <col min="8175" max="8175" width="6.85546875" style="1" customWidth="1"/>
    <col min="8176" max="8176" width="44.42578125" style="1" customWidth="1"/>
    <col min="8177" max="8216" width="4.5703125" style="1" customWidth="1"/>
    <col min="8217" max="8217" width="7.5703125" style="1" customWidth="1"/>
    <col min="8218" max="8430" width="9.140625" style="1"/>
    <col min="8431" max="8431" width="6.85546875" style="1" customWidth="1"/>
    <col min="8432" max="8432" width="44.42578125" style="1" customWidth="1"/>
    <col min="8433" max="8472" width="4.5703125" style="1" customWidth="1"/>
    <col min="8473" max="8473" width="7.5703125" style="1" customWidth="1"/>
    <col min="8474" max="8686" width="9.140625" style="1"/>
    <col min="8687" max="8687" width="6.85546875" style="1" customWidth="1"/>
    <col min="8688" max="8688" width="44.42578125" style="1" customWidth="1"/>
    <col min="8689" max="8728" width="4.5703125" style="1" customWidth="1"/>
    <col min="8729" max="8729" width="7.5703125" style="1" customWidth="1"/>
    <col min="8730" max="8942" width="9.140625" style="1"/>
    <col min="8943" max="8943" width="6.85546875" style="1" customWidth="1"/>
    <col min="8944" max="8944" width="44.42578125" style="1" customWidth="1"/>
    <col min="8945" max="8984" width="4.5703125" style="1" customWidth="1"/>
    <col min="8985" max="8985" width="7.5703125" style="1" customWidth="1"/>
    <col min="8986" max="9198" width="9.140625" style="1"/>
    <col min="9199" max="9199" width="6.85546875" style="1" customWidth="1"/>
    <col min="9200" max="9200" width="44.42578125" style="1" customWidth="1"/>
    <col min="9201" max="9240" width="4.5703125" style="1" customWidth="1"/>
    <col min="9241" max="9241" width="7.5703125" style="1" customWidth="1"/>
    <col min="9242" max="9454" width="9.140625" style="1"/>
    <col min="9455" max="9455" width="6.85546875" style="1" customWidth="1"/>
    <col min="9456" max="9456" width="44.42578125" style="1" customWidth="1"/>
    <col min="9457" max="9496" width="4.5703125" style="1" customWidth="1"/>
    <col min="9497" max="9497" width="7.5703125" style="1" customWidth="1"/>
    <col min="9498" max="9710" width="9.140625" style="1"/>
    <col min="9711" max="9711" width="6.85546875" style="1" customWidth="1"/>
    <col min="9712" max="9712" width="44.42578125" style="1" customWidth="1"/>
    <col min="9713" max="9752" width="4.5703125" style="1" customWidth="1"/>
    <col min="9753" max="9753" width="7.5703125" style="1" customWidth="1"/>
    <col min="9754" max="9966" width="9.140625" style="1"/>
    <col min="9967" max="9967" width="6.85546875" style="1" customWidth="1"/>
    <col min="9968" max="9968" width="44.42578125" style="1" customWidth="1"/>
    <col min="9969" max="10008" width="4.5703125" style="1" customWidth="1"/>
    <col min="10009" max="10009" width="7.5703125" style="1" customWidth="1"/>
    <col min="10010" max="10222" width="9.140625" style="1"/>
    <col min="10223" max="10223" width="6.85546875" style="1" customWidth="1"/>
    <col min="10224" max="10224" width="44.42578125" style="1" customWidth="1"/>
    <col min="10225" max="10264" width="4.5703125" style="1" customWidth="1"/>
    <col min="10265" max="10265" width="7.5703125" style="1" customWidth="1"/>
    <col min="10266" max="10478" width="9.140625" style="1"/>
    <col min="10479" max="10479" width="6.85546875" style="1" customWidth="1"/>
    <col min="10480" max="10480" width="44.42578125" style="1" customWidth="1"/>
    <col min="10481" max="10520" width="4.5703125" style="1" customWidth="1"/>
    <col min="10521" max="10521" width="7.5703125" style="1" customWidth="1"/>
    <col min="10522" max="10734" width="9.140625" style="1"/>
    <col min="10735" max="10735" width="6.85546875" style="1" customWidth="1"/>
    <col min="10736" max="10736" width="44.42578125" style="1" customWidth="1"/>
    <col min="10737" max="10776" width="4.5703125" style="1" customWidth="1"/>
    <col min="10777" max="10777" width="7.5703125" style="1" customWidth="1"/>
    <col min="10778" max="10990" width="9.140625" style="1"/>
    <col min="10991" max="10991" width="6.85546875" style="1" customWidth="1"/>
    <col min="10992" max="10992" width="44.42578125" style="1" customWidth="1"/>
    <col min="10993" max="11032" width="4.5703125" style="1" customWidth="1"/>
    <col min="11033" max="11033" width="7.5703125" style="1" customWidth="1"/>
    <col min="11034" max="11246" width="9.140625" style="1"/>
    <col min="11247" max="11247" width="6.85546875" style="1" customWidth="1"/>
    <col min="11248" max="11248" width="44.42578125" style="1" customWidth="1"/>
    <col min="11249" max="11288" width="4.5703125" style="1" customWidth="1"/>
    <col min="11289" max="11289" width="7.5703125" style="1" customWidth="1"/>
    <col min="11290" max="11502" width="9.140625" style="1"/>
    <col min="11503" max="11503" width="6.85546875" style="1" customWidth="1"/>
    <col min="11504" max="11504" width="44.42578125" style="1" customWidth="1"/>
    <col min="11505" max="11544" width="4.5703125" style="1" customWidth="1"/>
    <col min="11545" max="11545" width="7.5703125" style="1" customWidth="1"/>
    <col min="11546" max="11758" width="9.140625" style="1"/>
    <col min="11759" max="11759" width="6.85546875" style="1" customWidth="1"/>
    <col min="11760" max="11760" width="44.42578125" style="1" customWidth="1"/>
    <col min="11761" max="11800" width="4.5703125" style="1" customWidth="1"/>
    <col min="11801" max="11801" width="7.5703125" style="1" customWidth="1"/>
    <col min="11802" max="12014" width="9.140625" style="1"/>
    <col min="12015" max="12015" width="6.85546875" style="1" customWidth="1"/>
    <col min="12016" max="12016" width="44.42578125" style="1" customWidth="1"/>
    <col min="12017" max="12056" width="4.5703125" style="1" customWidth="1"/>
    <col min="12057" max="12057" width="7.5703125" style="1" customWidth="1"/>
    <col min="12058" max="12270" width="9.140625" style="1"/>
    <col min="12271" max="12271" width="6.85546875" style="1" customWidth="1"/>
    <col min="12272" max="12272" width="44.42578125" style="1" customWidth="1"/>
    <col min="12273" max="12312" width="4.5703125" style="1" customWidth="1"/>
    <col min="12313" max="12313" width="7.5703125" style="1" customWidth="1"/>
    <col min="12314" max="12526" width="9.140625" style="1"/>
    <col min="12527" max="12527" width="6.85546875" style="1" customWidth="1"/>
    <col min="12528" max="12528" width="44.42578125" style="1" customWidth="1"/>
    <col min="12529" max="12568" width="4.5703125" style="1" customWidth="1"/>
    <col min="12569" max="12569" width="7.5703125" style="1" customWidth="1"/>
    <col min="12570" max="12782" width="9.140625" style="1"/>
    <col min="12783" max="12783" width="6.85546875" style="1" customWidth="1"/>
    <col min="12784" max="12784" width="44.42578125" style="1" customWidth="1"/>
    <col min="12785" max="12824" width="4.5703125" style="1" customWidth="1"/>
    <col min="12825" max="12825" width="7.5703125" style="1" customWidth="1"/>
    <col min="12826" max="13038" width="9.140625" style="1"/>
    <col min="13039" max="13039" width="6.85546875" style="1" customWidth="1"/>
    <col min="13040" max="13040" width="44.42578125" style="1" customWidth="1"/>
    <col min="13041" max="13080" width="4.5703125" style="1" customWidth="1"/>
    <col min="13081" max="13081" width="7.5703125" style="1" customWidth="1"/>
    <col min="13082" max="13294" width="9.140625" style="1"/>
    <col min="13295" max="13295" width="6.85546875" style="1" customWidth="1"/>
    <col min="13296" max="13296" width="44.42578125" style="1" customWidth="1"/>
    <col min="13297" max="13336" width="4.5703125" style="1" customWidth="1"/>
    <col min="13337" max="13337" width="7.5703125" style="1" customWidth="1"/>
    <col min="13338" max="13550" width="9.140625" style="1"/>
    <col min="13551" max="13551" width="6.85546875" style="1" customWidth="1"/>
    <col min="13552" max="13552" width="44.42578125" style="1" customWidth="1"/>
    <col min="13553" max="13592" width="4.5703125" style="1" customWidth="1"/>
    <col min="13593" max="13593" width="7.5703125" style="1" customWidth="1"/>
    <col min="13594" max="13806" width="9.140625" style="1"/>
    <col min="13807" max="13807" width="6.85546875" style="1" customWidth="1"/>
    <col min="13808" max="13808" width="44.42578125" style="1" customWidth="1"/>
    <col min="13809" max="13848" width="4.5703125" style="1" customWidth="1"/>
    <col min="13849" max="13849" width="7.5703125" style="1" customWidth="1"/>
    <col min="13850" max="14062" width="9.140625" style="1"/>
    <col min="14063" max="14063" width="6.85546875" style="1" customWidth="1"/>
    <col min="14064" max="14064" width="44.42578125" style="1" customWidth="1"/>
    <col min="14065" max="14104" width="4.5703125" style="1" customWidth="1"/>
    <col min="14105" max="14105" width="7.5703125" style="1" customWidth="1"/>
    <col min="14106" max="14318" width="9.140625" style="1"/>
    <col min="14319" max="14319" width="6.85546875" style="1" customWidth="1"/>
    <col min="14320" max="14320" width="44.42578125" style="1" customWidth="1"/>
    <col min="14321" max="14360" width="4.5703125" style="1" customWidth="1"/>
    <col min="14361" max="14361" width="7.5703125" style="1" customWidth="1"/>
    <col min="14362" max="14574" width="9.140625" style="1"/>
    <col min="14575" max="14575" width="6.85546875" style="1" customWidth="1"/>
    <col min="14576" max="14576" width="44.42578125" style="1" customWidth="1"/>
    <col min="14577" max="14616" width="4.5703125" style="1" customWidth="1"/>
    <col min="14617" max="14617" width="7.5703125" style="1" customWidth="1"/>
    <col min="14618" max="14830" width="9.140625" style="1"/>
    <col min="14831" max="14831" width="6.85546875" style="1" customWidth="1"/>
    <col min="14832" max="14832" width="44.42578125" style="1" customWidth="1"/>
    <col min="14833" max="14872" width="4.5703125" style="1" customWidth="1"/>
    <col min="14873" max="14873" width="7.5703125" style="1" customWidth="1"/>
    <col min="14874" max="15086" width="9.140625" style="1"/>
    <col min="15087" max="15087" width="6.85546875" style="1" customWidth="1"/>
    <col min="15088" max="15088" width="44.42578125" style="1" customWidth="1"/>
    <col min="15089" max="15128" width="4.5703125" style="1" customWidth="1"/>
    <col min="15129" max="15129" width="7.5703125" style="1" customWidth="1"/>
    <col min="15130" max="15342" width="9.140625" style="1"/>
    <col min="15343" max="15343" width="6.85546875" style="1" customWidth="1"/>
    <col min="15344" max="15344" width="44.42578125" style="1" customWidth="1"/>
    <col min="15345" max="15384" width="4.5703125" style="1" customWidth="1"/>
    <col min="15385" max="15385" width="7.5703125" style="1" customWidth="1"/>
    <col min="15386" max="15598" width="9.140625" style="1"/>
    <col min="15599" max="15599" width="6.85546875" style="1" customWidth="1"/>
    <col min="15600" max="15600" width="44.42578125" style="1" customWidth="1"/>
    <col min="15601" max="15640" width="4.5703125" style="1" customWidth="1"/>
    <col min="15641" max="15641" width="7.5703125" style="1" customWidth="1"/>
    <col min="15642" max="15854" width="9.140625" style="1"/>
    <col min="15855" max="15855" width="6.85546875" style="1" customWidth="1"/>
    <col min="15856" max="15856" width="44.42578125" style="1" customWidth="1"/>
    <col min="15857" max="15896" width="4.5703125" style="1" customWidth="1"/>
    <col min="15897" max="15897" width="7.5703125" style="1" customWidth="1"/>
    <col min="15898" max="16110" width="9.140625" style="1"/>
    <col min="16111" max="16111" width="6.85546875" style="1" customWidth="1"/>
    <col min="16112" max="16112" width="44.42578125" style="1" customWidth="1"/>
    <col min="16113" max="16152" width="4.5703125" style="1" customWidth="1"/>
    <col min="16153" max="16153" width="7.5703125" style="1" customWidth="1"/>
    <col min="16154" max="16384" width="9.140625" style="1"/>
  </cols>
  <sheetData>
    <row r="1" spans="1:30" ht="23.1" customHeight="1" x14ac:dyDescent="0.25">
      <c r="A1" s="145" t="str">
        <f>'DATA SISWA'!J6</f>
        <v>UJIAN TENGAH SEMESTER I (GANJIL)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</row>
    <row r="2" spans="1:30" ht="23.1" customHeight="1" x14ac:dyDescent="0.25">
      <c r="A2" s="145" t="str">
        <f>'DATA SISWA'!J7</f>
        <v>TAHUN PELAJARAN 2017/2018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</row>
    <row r="3" spans="1:30" ht="23.1" customHeight="1" x14ac:dyDescent="0.25">
      <c r="A3" s="1" t="s">
        <v>14</v>
      </c>
      <c r="C3" s="1" t="s">
        <v>15</v>
      </c>
      <c r="D3" s="1" t="str">
        <f>'DATA SISWA'!E2</f>
        <v>MI NURUL ISLAM LABRUK KIDUL</v>
      </c>
      <c r="P3" s="152" t="str">
        <f>'DATA SISWA'!J4</f>
        <v>KELAS IV (EMPAT) A</v>
      </c>
      <c r="Q3" s="152"/>
      <c r="R3" s="152"/>
      <c r="S3" s="152"/>
      <c r="T3" s="152"/>
      <c r="U3" s="152"/>
      <c r="V3" s="152"/>
      <c r="W3" s="152"/>
      <c r="X3" s="152"/>
      <c r="Y3" s="152"/>
      <c r="AA3" s="1" t="s">
        <v>11</v>
      </c>
      <c r="AB3" s="1" t="s">
        <v>12</v>
      </c>
      <c r="AC3" s="1" t="s">
        <v>16</v>
      </c>
      <c r="AD3" s="1" t="s">
        <v>17</v>
      </c>
    </row>
    <row r="4" spans="1:30" ht="23.25" customHeight="1" thickBot="1" x14ac:dyDescent="0.3">
      <c r="A4" s="31">
        <v>1</v>
      </c>
      <c r="B4" s="31">
        <v>2</v>
      </c>
      <c r="C4" s="31">
        <v>3</v>
      </c>
      <c r="D4" s="31">
        <v>4</v>
      </c>
      <c r="E4" s="31">
        <v>5</v>
      </c>
      <c r="F4" s="31">
        <v>6</v>
      </c>
      <c r="G4" s="31">
        <v>7</v>
      </c>
      <c r="H4" s="31">
        <v>8</v>
      </c>
      <c r="I4" s="31">
        <v>9</v>
      </c>
      <c r="J4" s="31">
        <v>10</v>
      </c>
      <c r="K4" s="31">
        <v>11</v>
      </c>
      <c r="L4" s="31">
        <v>12</v>
      </c>
      <c r="M4" s="31">
        <v>13</v>
      </c>
      <c r="N4" s="31">
        <v>14</v>
      </c>
      <c r="O4" s="31">
        <v>15</v>
      </c>
      <c r="P4" s="31">
        <v>16</v>
      </c>
      <c r="Q4" s="31">
        <v>17</v>
      </c>
      <c r="R4" s="31">
        <v>18</v>
      </c>
      <c r="S4" s="31">
        <v>19</v>
      </c>
      <c r="T4" s="31">
        <v>20</v>
      </c>
      <c r="U4" s="31">
        <v>21</v>
      </c>
      <c r="V4" s="31">
        <v>22</v>
      </c>
      <c r="W4" s="31">
        <v>23</v>
      </c>
      <c r="X4" s="31">
        <v>24</v>
      </c>
      <c r="Y4" s="31">
        <v>25</v>
      </c>
    </row>
    <row r="5" spans="1:30" ht="87" customHeight="1" x14ac:dyDescent="0.25">
      <c r="A5" s="146" t="s">
        <v>18</v>
      </c>
      <c r="B5" s="148" t="s">
        <v>19</v>
      </c>
      <c r="C5" s="41" t="str">
        <f>KKM!B3</f>
        <v>Alquran Hadits</v>
      </c>
      <c r="D5" s="41" t="str">
        <f>KKM!B4</f>
        <v>Aqidah Akhlak</v>
      </c>
      <c r="E5" s="41" t="str">
        <f>KKM!B5</f>
        <v>Fiqih</v>
      </c>
      <c r="F5" s="41" t="str">
        <f>KKM!B6</f>
        <v>Sejarah Kebudayaan Islam</v>
      </c>
      <c r="G5" s="41" t="str">
        <f>KKM!A7</f>
        <v>PPKn</v>
      </c>
      <c r="H5" s="41" t="str">
        <f>KKM!A8</f>
        <v>B.Indonesia</v>
      </c>
      <c r="I5" s="41" t="str">
        <f>KKM!A9</f>
        <v>B. Arab</v>
      </c>
      <c r="J5" s="41" t="str">
        <f>KKM!A10</f>
        <v>Matematika</v>
      </c>
      <c r="K5" s="41" t="str">
        <f>KKM!A11</f>
        <v>IPA</v>
      </c>
      <c r="L5" s="41" t="str">
        <f>KKM!A12</f>
        <v>IPS</v>
      </c>
      <c r="M5" s="41" t="str">
        <f>KKM!A13</f>
        <v>Kertakes</v>
      </c>
      <c r="N5" s="41" t="str">
        <f>KKM!A14</f>
        <v>Penjaskes</v>
      </c>
      <c r="O5" s="41" t="str">
        <f>KKM!B16</f>
        <v>B. Daerah</v>
      </c>
      <c r="P5" s="41" t="str">
        <f>KKM!B17</f>
        <v>B. Inggris</v>
      </c>
      <c r="Q5" s="41" t="str">
        <f>KKM!B18</f>
        <v>Aswaja</v>
      </c>
      <c r="R5" s="41" t="str">
        <f>KKM!B19</f>
        <v>Nahwu-Shorof</v>
      </c>
      <c r="S5" s="41" t="str">
        <f>KKM!B22</f>
        <v>TIK</v>
      </c>
      <c r="T5" s="41" t="str">
        <f>KKM!B23</f>
        <v>Ulangan</v>
      </c>
      <c r="U5" s="41">
        <f>KKM!B24</f>
        <v>0</v>
      </c>
      <c r="V5" s="41">
        <f>KKM!B25</f>
        <v>0</v>
      </c>
      <c r="W5" s="41" t="s">
        <v>38</v>
      </c>
      <c r="X5" s="41" t="s">
        <v>39</v>
      </c>
      <c r="Y5" s="150" t="s">
        <v>40</v>
      </c>
    </row>
    <row r="6" spans="1:30" ht="21.95" customHeight="1" thickBot="1" x14ac:dyDescent="0.3">
      <c r="A6" s="147"/>
      <c r="B6" s="149"/>
      <c r="C6" s="2" t="s">
        <v>41</v>
      </c>
      <c r="D6" s="2" t="s">
        <v>41</v>
      </c>
      <c r="E6" s="2" t="s">
        <v>41</v>
      </c>
      <c r="F6" s="2" t="s">
        <v>41</v>
      </c>
      <c r="G6" s="2" t="s">
        <v>41</v>
      </c>
      <c r="H6" s="2" t="s">
        <v>41</v>
      </c>
      <c r="I6" s="2" t="s">
        <v>41</v>
      </c>
      <c r="J6" s="2" t="s">
        <v>41</v>
      </c>
      <c r="K6" s="2" t="s">
        <v>41</v>
      </c>
      <c r="L6" s="2" t="s">
        <v>41</v>
      </c>
      <c r="M6" s="2" t="s">
        <v>41</v>
      </c>
      <c r="N6" s="2" t="s">
        <v>41</v>
      </c>
      <c r="O6" s="2" t="s">
        <v>41</v>
      </c>
      <c r="P6" s="2" t="s">
        <v>41</v>
      </c>
      <c r="Q6" s="2" t="s">
        <v>41</v>
      </c>
      <c r="R6" s="2" t="s">
        <v>41</v>
      </c>
      <c r="S6" s="2" t="s">
        <v>41</v>
      </c>
      <c r="T6" s="2" t="s">
        <v>41</v>
      </c>
      <c r="U6" s="2" t="s">
        <v>41</v>
      </c>
      <c r="V6" s="2" t="s">
        <v>41</v>
      </c>
      <c r="W6" s="2" t="s">
        <v>41</v>
      </c>
      <c r="X6" s="2" t="s">
        <v>41</v>
      </c>
      <c r="Y6" s="151"/>
    </row>
    <row r="7" spans="1:30" ht="22.5" customHeight="1" x14ac:dyDescent="0.25">
      <c r="A7" s="84">
        <v>1</v>
      </c>
      <c r="B7" s="85" t="str">
        <f>IF('DATA SISWA'!C13=0,"",'DATA SISWA'!C13)</f>
        <v>ACHMAD FATHIR IZUDDIN</v>
      </c>
      <c r="C7" s="86"/>
      <c r="D7" s="86">
        <v>60</v>
      </c>
      <c r="E7" s="86"/>
      <c r="F7" s="86">
        <v>55</v>
      </c>
      <c r="G7" s="86">
        <v>65</v>
      </c>
      <c r="H7" s="86">
        <v>70</v>
      </c>
      <c r="I7" s="86">
        <v>65</v>
      </c>
      <c r="J7" s="86"/>
      <c r="K7" s="86">
        <v>75</v>
      </c>
      <c r="L7" s="86">
        <v>70</v>
      </c>
      <c r="M7" s="86">
        <v>70</v>
      </c>
      <c r="N7" s="86">
        <v>75</v>
      </c>
      <c r="O7" s="86">
        <v>36</v>
      </c>
      <c r="P7" s="86">
        <v>60</v>
      </c>
      <c r="Q7" s="86"/>
      <c r="R7" s="86">
        <v>60</v>
      </c>
      <c r="S7" s="86"/>
      <c r="T7" s="86"/>
      <c r="U7" s="86"/>
      <c r="V7" s="86"/>
      <c r="W7" s="87">
        <f>SUM(C7:T7)</f>
        <v>761</v>
      </c>
      <c r="X7" s="88">
        <f>IF(ISERROR(AVERAGE(C7:T7)),"",AVERAGE(C7:T7))</f>
        <v>63.416666666666664</v>
      </c>
      <c r="Y7" s="89">
        <f>RANK(W7,$W$7:$W$66)</f>
        <v>22</v>
      </c>
      <c r="AA7" s="1" t="str">
        <f>'[1]DATA SISWA'!D10</f>
        <v>Lumajang</v>
      </c>
      <c r="AB7" s="3">
        <f>'[1]DATA SISWA'!E10</f>
        <v>38182</v>
      </c>
      <c r="AC7" s="1" t="str">
        <f>'[1]DATA SISWA'!F10</f>
        <v>Achmad Kamali Alfan</v>
      </c>
      <c r="AD7" s="1">
        <f>'[1]DATA SISWA'!B10</f>
        <v>4121</v>
      </c>
    </row>
    <row r="8" spans="1:30" ht="22.5" customHeight="1" x14ac:dyDescent="0.25">
      <c r="A8" s="4">
        <v>2</v>
      </c>
      <c r="B8" s="15" t="str">
        <f>IF('DATA SISWA'!C14=0,"",'DATA SISWA'!C14)</f>
        <v>ACHMAD SEPTIAN HAMDANI</v>
      </c>
      <c r="C8" s="77"/>
      <c r="D8" s="77">
        <v>68</v>
      </c>
      <c r="E8" s="77"/>
      <c r="F8" s="77">
        <v>78</v>
      </c>
      <c r="G8" s="77">
        <v>65</v>
      </c>
      <c r="H8" s="77">
        <v>70</v>
      </c>
      <c r="I8" s="77">
        <v>65</v>
      </c>
      <c r="J8" s="77"/>
      <c r="K8" s="77">
        <v>65</v>
      </c>
      <c r="L8" s="77">
        <v>70</v>
      </c>
      <c r="M8" s="77">
        <v>70</v>
      </c>
      <c r="N8" s="77">
        <v>75</v>
      </c>
      <c r="O8" s="77">
        <v>36</v>
      </c>
      <c r="P8" s="77">
        <v>60</v>
      </c>
      <c r="Q8" s="77"/>
      <c r="R8" s="77">
        <v>70</v>
      </c>
      <c r="S8" s="77"/>
      <c r="T8" s="77"/>
      <c r="U8" s="77"/>
      <c r="V8" s="77"/>
      <c r="W8" s="78">
        <f>SUM(C8:T8)</f>
        <v>792</v>
      </c>
      <c r="X8" s="16">
        <f>IF(ISERROR(AVERAGE(C8:T8)),"",AVERAGE(C8:T8))</f>
        <v>66</v>
      </c>
      <c r="Y8" s="5">
        <f t="shared" ref="Y8:Y66" si="0">RANK(W8,$W$7:$W$66)</f>
        <v>11</v>
      </c>
      <c r="AA8" s="1" t="str">
        <f>'[1]DATA SISWA'!D11</f>
        <v>Lumajang</v>
      </c>
      <c r="AB8" s="3">
        <f>'[1]DATA SISWA'!E11</f>
        <v>37818</v>
      </c>
      <c r="AC8" s="1" t="str">
        <f>'[1]DATA SISWA'!F11</f>
        <v>Imam Nawawi</v>
      </c>
      <c r="AD8" s="1">
        <f>'[1]DATA SISWA'!B11</f>
        <v>4090</v>
      </c>
    </row>
    <row r="9" spans="1:30" ht="22.5" customHeight="1" x14ac:dyDescent="0.25">
      <c r="A9" s="84">
        <v>3</v>
      </c>
      <c r="B9" s="85" t="str">
        <f>IF('DATA SISWA'!C15=0,"",'DATA SISWA'!C15)</f>
        <v>ACHMAD SULAIMAN</v>
      </c>
      <c r="C9" s="86"/>
      <c r="D9" s="86">
        <v>30</v>
      </c>
      <c r="E9" s="86"/>
      <c r="F9" s="86">
        <v>36</v>
      </c>
      <c r="G9" s="86">
        <v>65</v>
      </c>
      <c r="H9" s="86">
        <v>70</v>
      </c>
      <c r="I9" s="86">
        <v>65</v>
      </c>
      <c r="J9" s="86"/>
      <c r="K9" s="86">
        <v>55</v>
      </c>
      <c r="L9" s="86">
        <v>70</v>
      </c>
      <c r="M9" s="86">
        <v>70</v>
      </c>
      <c r="N9" s="86">
        <v>75</v>
      </c>
      <c r="O9" s="86">
        <v>19</v>
      </c>
      <c r="P9" s="86">
        <v>60</v>
      </c>
      <c r="Q9" s="86"/>
      <c r="R9" s="86">
        <v>60</v>
      </c>
      <c r="S9" s="86"/>
      <c r="T9" s="86"/>
      <c r="U9" s="86"/>
      <c r="V9" s="86"/>
      <c r="W9" s="90">
        <f>SUM(C9:T9)</f>
        <v>675</v>
      </c>
      <c r="X9" s="91">
        <f>IF(ISERROR(AVERAGE(C9:T9)),"",AVERAGE(C9:T9))</f>
        <v>56.25</v>
      </c>
      <c r="Y9" s="92">
        <f t="shared" si="0"/>
        <v>32</v>
      </c>
      <c r="AA9" s="1" t="str">
        <f>'[1]DATA SISWA'!D12</f>
        <v>Lumajang</v>
      </c>
      <c r="AB9" s="3">
        <f>'[1]DATA SISWA'!E12</f>
        <v>37458</v>
      </c>
      <c r="AC9" s="1" t="str">
        <f>'[1]DATA SISWA'!F12</f>
        <v>Moch. Basuni</v>
      </c>
      <c r="AD9" s="1">
        <f>'[1]DATA SISWA'!B12</f>
        <v>4124</v>
      </c>
    </row>
    <row r="10" spans="1:30" ht="22.5" customHeight="1" x14ac:dyDescent="0.25">
      <c r="A10" s="4">
        <v>4</v>
      </c>
      <c r="B10" s="15" t="str">
        <f>IF('DATA SISWA'!C16=0,"",'DATA SISWA'!C16)</f>
        <v>AININ NAFISA FEBRIYANTI</v>
      </c>
      <c r="C10" s="77"/>
      <c r="D10" s="77">
        <v>72</v>
      </c>
      <c r="E10" s="77"/>
      <c r="F10" s="77">
        <v>56</v>
      </c>
      <c r="G10" s="77">
        <v>65</v>
      </c>
      <c r="H10" s="77">
        <v>70</v>
      </c>
      <c r="I10" s="77">
        <v>70</v>
      </c>
      <c r="J10" s="77"/>
      <c r="K10" s="77">
        <v>75</v>
      </c>
      <c r="L10" s="77">
        <v>70</v>
      </c>
      <c r="M10" s="77">
        <v>70</v>
      </c>
      <c r="N10" s="77">
        <v>75</v>
      </c>
      <c r="O10" s="77">
        <v>36</v>
      </c>
      <c r="P10" s="77">
        <v>60</v>
      </c>
      <c r="Q10" s="77"/>
      <c r="R10" s="77">
        <v>70</v>
      </c>
      <c r="S10" s="77"/>
      <c r="T10" s="77"/>
      <c r="U10" s="77"/>
      <c r="V10" s="77"/>
      <c r="W10" s="78">
        <f t="shared" ref="W10:W48" si="1">SUM(C10:T10)</f>
        <v>789</v>
      </c>
      <c r="X10" s="16">
        <f t="shared" ref="X10:X48" si="2">IF(ISERROR(AVERAGE(C10:T10)),"",AVERAGE(C10:T10))</f>
        <v>65.75</v>
      </c>
      <c r="Y10" s="5">
        <f t="shared" si="0"/>
        <v>12</v>
      </c>
      <c r="AA10" s="1" t="str">
        <f>'[1]DATA SISWA'!D13</f>
        <v>Lumajang</v>
      </c>
      <c r="AB10" s="3">
        <f>'[1]DATA SISWA'!E13</f>
        <v>37715</v>
      </c>
      <c r="AC10" s="1" t="str">
        <f>'[1]DATA SISWA'!F13</f>
        <v>Zainul Atim Slamet</v>
      </c>
      <c r="AD10" s="1">
        <f>'[1]DATA SISWA'!B13</f>
        <v>4091</v>
      </c>
    </row>
    <row r="11" spans="1:30" ht="22.5" customHeight="1" x14ac:dyDescent="0.25">
      <c r="A11" s="84">
        <v>5</v>
      </c>
      <c r="B11" s="85" t="str">
        <f>IF('DATA SISWA'!C17=0,"",'DATA SISWA'!C17)</f>
        <v>AISYAH DWI ANDINI</v>
      </c>
      <c r="C11" s="86"/>
      <c r="D11" s="86">
        <v>70</v>
      </c>
      <c r="E11" s="86"/>
      <c r="F11" s="86">
        <v>50</v>
      </c>
      <c r="G11" s="86">
        <v>65</v>
      </c>
      <c r="H11" s="86">
        <v>70</v>
      </c>
      <c r="I11" s="86">
        <v>70</v>
      </c>
      <c r="J11" s="86"/>
      <c r="K11" s="86">
        <v>75</v>
      </c>
      <c r="L11" s="86">
        <v>70</v>
      </c>
      <c r="M11" s="86">
        <v>70</v>
      </c>
      <c r="N11" s="86">
        <v>75</v>
      </c>
      <c r="O11" s="86">
        <v>39</v>
      </c>
      <c r="P11" s="86">
        <v>60</v>
      </c>
      <c r="Q11" s="86"/>
      <c r="R11" s="86">
        <v>70</v>
      </c>
      <c r="S11" s="86"/>
      <c r="T11" s="86"/>
      <c r="U11" s="86"/>
      <c r="V11" s="86"/>
      <c r="W11" s="90">
        <f t="shared" si="1"/>
        <v>784</v>
      </c>
      <c r="X11" s="91">
        <f t="shared" si="2"/>
        <v>65.333333333333329</v>
      </c>
      <c r="Y11" s="92">
        <f t="shared" si="0"/>
        <v>14</v>
      </c>
      <c r="AA11" s="1" t="str">
        <f>'[1]DATA SISWA'!D14</f>
        <v>Lumajang</v>
      </c>
      <c r="AB11" s="3">
        <f>'[1]DATA SISWA'!E14</f>
        <v>37808</v>
      </c>
      <c r="AC11" s="1" t="str">
        <f>'[1]DATA SISWA'!F14</f>
        <v>Slamet Riyadi</v>
      </c>
      <c r="AD11" s="1">
        <f>'[1]DATA SISWA'!B14</f>
        <v>4092</v>
      </c>
    </row>
    <row r="12" spans="1:30" ht="22.5" customHeight="1" x14ac:dyDescent="0.25">
      <c r="A12" s="4">
        <v>6</v>
      </c>
      <c r="B12" s="15" t="str">
        <f>IF('DATA SISWA'!C18=0,"",'DATA SISWA'!C18)</f>
        <v>AJENG AGUSTINA KIRANA PUTRI</v>
      </c>
      <c r="C12" s="77"/>
      <c r="D12" s="77">
        <v>80</v>
      </c>
      <c r="E12" s="77"/>
      <c r="F12" s="77">
        <v>60</v>
      </c>
      <c r="G12" s="77">
        <v>65</v>
      </c>
      <c r="H12" s="77">
        <v>70</v>
      </c>
      <c r="I12" s="77">
        <v>70</v>
      </c>
      <c r="J12" s="77"/>
      <c r="K12" s="77">
        <v>75</v>
      </c>
      <c r="L12" s="77">
        <v>70</v>
      </c>
      <c r="M12" s="77">
        <v>70</v>
      </c>
      <c r="N12" s="77">
        <v>75</v>
      </c>
      <c r="O12" s="77">
        <v>48</v>
      </c>
      <c r="P12" s="77">
        <v>60</v>
      </c>
      <c r="Q12" s="77"/>
      <c r="R12" s="77">
        <v>70</v>
      </c>
      <c r="S12" s="77"/>
      <c r="T12" s="77"/>
      <c r="U12" s="77"/>
      <c r="V12" s="77"/>
      <c r="W12" s="78">
        <f t="shared" si="1"/>
        <v>813</v>
      </c>
      <c r="X12" s="16">
        <f t="shared" si="2"/>
        <v>67.75</v>
      </c>
      <c r="Y12" s="5">
        <f t="shared" si="0"/>
        <v>7</v>
      </c>
      <c r="AA12" s="1" t="str">
        <f>'[1]DATA SISWA'!D15</f>
        <v>Lumajang</v>
      </c>
      <c r="AB12" s="3">
        <f>'[1]DATA SISWA'!E15</f>
        <v>37845</v>
      </c>
      <c r="AC12" s="1" t="str">
        <f>'[1]DATA SISWA'!F15</f>
        <v>Mochamad Amin</v>
      </c>
      <c r="AD12" s="1">
        <f>'[1]DATA SISWA'!B15</f>
        <v>4093</v>
      </c>
    </row>
    <row r="13" spans="1:30" ht="22.5" customHeight="1" x14ac:dyDescent="0.25">
      <c r="A13" s="84">
        <v>7</v>
      </c>
      <c r="B13" s="85" t="str">
        <f>IF('DATA SISWA'!C19=0,"",'DATA SISWA'!C19)</f>
        <v>ALVIAN FAIZULHAQQI</v>
      </c>
      <c r="C13" s="86"/>
      <c r="D13" s="86">
        <v>74</v>
      </c>
      <c r="E13" s="86"/>
      <c r="F13" s="86">
        <v>58</v>
      </c>
      <c r="G13" s="86">
        <v>65</v>
      </c>
      <c r="H13" s="86">
        <v>70</v>
      </c>
      <c r="I13" s="86">
        <v>65</v>
      </c>
      <c r="J13" s="86"/>
      <c r="K13" s="86">
        <v>75</v>
      </c>
      <c r="L13" s="86">
        <v>70</v>
      </c>
      <c r="M13" s="86">
        <v>70</v>
      </c>
      <c r="N13" s="86">
        <v>75</v>
      </c>
      <c r="O13" s="86">
        <v>26</v>
      </c>
      <c r="P13" s="86">
        <v>60</v>
      </c>
      <c r="Q13" s="86"/>
      <c r="R13" s="86">
        <v>60</v>
      </c>
      <c r="S13" s="86"/>
      <c r="T13" s="86"/>
      <c r="U13" s="86"/>
      <c r="V13" s="86"/>
      <c r="W13" s="90">
        <f t="shared" si="1"/>
        <v>768</v>
      </c>
      <c r="X13" s="91">
        <f t="shared" si="2"/>
        <v>64</v>
      </c>
      <c r="Y13" s="92">
        <f t="shared" si="0"/>
        <v>21</v>
      </c>
      <c r="AA13" s="1" t="str">
        <f>'[1]DATA SISWA'!D16</f>
        <v>Lumajang</v>
      </c>
      <c r="AB13" s="3">
        <f>'[1]DATA SISWA'!E16</f>
        <v>37938</v>
      </c>
      <c r="AC13" s="1" t="str">
        <f>'[1]DATA SISWA'!F16</f>
        <v>Mukhamad Fauzi</v>
      </c>
      <c r="AD13" s="1">
        <f>'[1]DATA SISWA'!B16</f>
        <v>4136</v>
      </c>
    </row>
    <row r="14" spans="1:30" ht="22.5" customHeight="1" x14ac:dyDescent="0.25">
      <c r="A14" s="4">
        <v>8</v>
      </c>
      <c r="B14" s="15" t="str">
        <f>IF('DATA SISWA'!C20=0,"",'DATA SISWA'!C20)</f>
        <v>ANGGITA RIZKY YUGA MEISYA</v>
      </c>
      <c r="C14" s="77"/>
      <c r="D14" s="77">
        <v>90</v>
      </c>
      <c r="E14" s="77"/>
      <c r="F14" s="77">
        <v>68</v>
      </c>
      <c r="G14" s="77">
        <v>65</v>
      </c>
      <c r="H14" s="77">
        <v>80</v>
      </c>
      <c r="I14" s="77">
        <v>70</v>
      </c>
      <c r="J14" s="77"/>
      <c r="K14" s="77">
        <v>85</v>
      </c>
      <c r="L14" s="77">
        <v>70</v>
      </c>
      <c r="M14" s="77">
        <v>70</v>
      </c>
      <c r="N14" s="77">
        <v>75</v>
      </c>
      <c r="O14" s="77">
        <v>42</v>
      </c>
      <c r="P14" s="77">
        <v>60</v>
      </c>
      <c r="Q14" s="77"/>
      <c r="R14" s="77">
        <v>70</v>
      </c>
      <c r="S14" s="77"/>
      <c r="T14" s="77"/>
      <c r="U14" s="77"/>
      <c r="V14" s="77"/>
      <c r="W14" s="78">
        <f t="shared" si="1"/>
        <v>845</v>
      </c>
      <c r="X14" s="16">
        <f t="shared" si="2"/>
        <v>70.416666666666671</v>
      </c>
      <c r="Y14" s="5">
        <f t="shared" si="0"/>
        <v>4</v>
      </c>
      <c r="AA14" s="1" t="str">
        <f>'[1]DATA SISWA'!D17</f>
        <v>Sidoarjo,</v>
      </c>
      <c r="AB14" s="3">
        <f>'[1]DATA SISWA'!E17</f>
        <v>37923</v>
      </c>
      <c r="AC14" s="1">
        <f>'[1]DATA SISWA'!F17</f>
        <v>0</v>
      </c>
      <c r="AD14" s="1">
        <f>'[1]DATA SISWA'!B17</f>
        <v>4094</v>
      </c>
    </row>
    <row r="15" spans="1:30" ht="22.5" customHeight="1" x14ac:dyDescent="0.25">
      <c r="A15" s="84">
        <v>9</v>
      </c>
      <c r="B15" s="85" t="str">
        <f>IF('DATA SISWA'!C21=0,"",'DATA SISWA'!C21)</f>
        <v>AUFAN AZKAL ABRORI</v>
      </c>
      <c r="C15" s="86"/>
      <c r="D15" s="86">
        <v>59</v>
      </c>
      <c r="E15" s="86"/>
      <c r="F15" s="86">
        <v>50</v>
      </c>
      <c r="G15" s="86">
        <v>65</v>
      </c>
      <c r="H15" s="86">
        <v>70</v>
      </c>
      <c r="I15" s="86">
        <v>65</v>
      </c>
      <c r="J15" s="86"/>
      <c r="K15" s="86">
        <v>65</v>
      </c>
      <c r="L15" s="86">
        <v>65</v>
      </c>
      <c r="M15" s="86">
        <v>70</v>
      </c>
      <c r="N15" s="86">
        <v>75</v>
      </c>
      <c r="O15" s="86">
        <v>10</v>
      </c>
      <c r="P15" s="86">
        <v>60</v>
      </c>
      <c r="Q15" s="86"/>
      <c r="R15" s="86">
        <v>60</v>
      </c>
      <c r="S15" s="86"/>
      <c r="T15" s="86"/>
      <c r="U15" s="86"/>
      <c r="V15" s="86"/>
      <c r="W15" s="90">
        <f t="shared" si="1"/>
        <v>714</v>
      </c>
      <c r="X15" s="91">
        <f t="shared" si="2"/>
        <v>59.5</v>
      </c>
      <c r="Y15" s="92">
        <f t="shared" si="0"/>
        <v>28</v>
      </c>
      <c r="AA15" s="1" t="str">
        <f>'[1]DATA SISWA'!D18</f>
        <v>Lumajang</v>
      </c>
      <c r="AB15" s="3">
        <f>'[1]DATA SISWA'!E18</f>
        <v>37875</v>
      </c>
      <c r="AC15" s="1" t="str">
        <f>'[1]DATA SISWA'!F18</f>
        <v>Samsuhar</v>
      </c>
      <c r="AD15" s="1">
        <f>'[1]DATA SISWA'!B18</f>
        <v>4095</v>
      </c>
    </row>
    <row r="16" spans="1:30" ht="22.5" customHeight="1" x14ac:dyDescent="0.25">
      <c r="A16" s="4">
        <v>10</v>
      </c>
      <c r="B16" s="15" t="str">
        <f>IF('DATA SISWA'!C22=0,"",'DATA SISWA'!C22)</f>
        <v>AURA SALSABILA WULAN SARI</v>
      </c>
      <c r="C16" s="77"/>
      <c r="D16" s="77">
        <v>92</v>
      </c>
      <c r="E16" s="77"/>
      <c r="F16" s="77">
        <v>85</v>
      </c>
      <c r="G16" s="77">
        <v>65</v>
      </c>
      <c r="H16" s="77">
        <v>80</v>
      </c>
      <c r="I16" s="77">
        <v>65</v>
      </c>
      <c r="J16" s="77"/>
      <c r="K16" s="77">
        <v>85</v>
      </c>
      <c r="L16" s="77">
        <v>65</v>
      </c>
      <c r="M16" s="77">
        <v>70</v>
      </c>
      <c r="N16" s="77">
        <v>75</v>
      </c>
      <c r="O16" s="77">
        <v>37</v>
      </c>
      <c r="P16" s="77">
        <v>60</v>
      </c>
      <c r="Q16" s="77"/>
      <c r="R16" s="77">
        <v>70</v>
      </c>
      <c r="S16" s="77"/>
      <c r="T16" s="77"/>
      <c r="U16" s="77"/>
      <c r="V16" s="77"/>
      <c r="W16" s="78">
        <f t="shared" si="1"/>
        <v>849</v>
      </c>
      <c r="X16" s="16">
        <f t="shared" si="2"/>
        <v>70.75</v>
      </c>
      <c r="Y16" s="5">
        <f t="shared" si="0"/>
        <v>3</v>
      </c>
      <c r="AA16" s="1" t="str">
        <f>'[1]DATA SISWA'!D19</f>
        <v>Lumajang</v>
      </c>
      <c r="AB16" s="3">
        <f>'[1]DATA SISWA'!E19</f>
        <v>37787</v>
      </c>
      <c r="AC16" s="1" t="str">
        <f>'[1]DATA SISWA'!F19</f>
        <v>Wahyudi</v>
      </c>
      <c r="AD16" s="1">
        <f>'[1]DATA SISWA'!B19</f>
        <v>4135</v>
      </c>
    </row>
    <row r="17" spans="1:30" ht="22.5" customHeight="1" x14ac:dyDescent="0.25">
      <c r="A17" s="84">
        <v>11</v>
      </c>
      <c r="B17" s="85" t="str">
        <f>IF('DATA SISWA'!C23=0,"",'DATA SISWA'!C23)</f>
        <v>AZZA PRISHAL DWI PUTRA</v>
      </c>
      <c r="C17" s="86"/>
      <c r="D17" s="86">
        <v>53</v>
      </c>
      <c r="E17" s="86"/>
      <c r="F17" s="86">
        <v>43</v>
      </c>
      <c r="G17" s="86">
        <v>65</v>
      </c>
      <c r="H17" s="86">
        <v>70</v>
      </c>
      <c r="I17" s="86">
        <v>65</v>
      </c>
      <c r="J17" s="86"/>
      <c r="K17" s="86">
        <v>65</v>
      </c>
      <c r="L17" s="86">
        <v>70</v>
      </c>
      <c r="M17" s="86">
        <v>75</v>
      </c>
      <c r="N17" s="86">
        <v>75</v>
      </c>
      <c r="O17" s="86">
        <v>27</v>
      </c>
      <c r="P17" s="86">
        <v>60</v>
      </c>
      <c r="Q17" s="86"/>
      <c r="R17" s="86">
        <v>60</v>
      </c>
      <c r="S17" s="86"/>
      <c r="T17" s="86"/>
      <c r="U17" s="86"/>
      <c r="V17" s="86"/>
      <c r="W17" s="90">
        <f t="shared" si="1"/>
        <v>728</v>
      </c>
      <c r="X17" s="91">
        <f t="shared" si="2"/>
        <v>60.666666666666664</v>
      </c>
      <c r="Y17" s="92">
        <f t="shared" si="0"/>
        <v>26</v>
      </c>
      <c r="AA17" s="1" t="str">
        <f>'[1]DATA SISWA'!D20</f>
        <v>Lumajang</v>
      </c>
      <c r="AB17" s="3">
        <f>'[1]DATA SISWA'!E20</f>
        <v>37917</v>
      </c>
      <c r="AC17" s="1" t="str">
        <f>'[1]DATA SISWA'!F20</f>
        <v>Sukadi</v>
      </c>
      <c r="AD17" s="1">
        <f>'[1]DATA SISWA'!B20</f>
        <v>4096</v>
      </c>
    </row>
    <row r="18" spans="1:30" ht="22.5" customHeight="1" x14ac:dyDescent="0.25">
      <c r="A18" s="4">
        <v>12</v>
      </c>
      <c r="B18" s="15" t="str">
        <f>IF('DATA SISWA'!C24=0,"",'DATA SISWA'!C24)</f>
        <v>BALQIS NAILA AUDIA</v>
      </c>
      <c r="C18" s="77"/>
      <c r="D18" s="77">
        <v>94</v>
      </c>
      <c r="E18" s="77"/>
      <c r="F18" s="77">
        <v>82</v>
      </c>
      <c r="G18" s="77">
        <v>65</v>
      </c>
      <c r="H18" s="77">
        <v>70</v>
      </c>
      <c r="I18" s="77">
        <v>70</v>
      </c>
      <c r="J18" s="77"/>
      <c r="K18" s="77">
        <v>85</v>
      </c>
      <c r="L18" s="77">
        <v>70</v>
      </c>
      <c r="M18" s="77">
        <v>70</v>
      </c>
      <c r="N18" s="77">
        <v>75</v>
      </c>
      <c r="O18" s="77">
        <v>52</v>
      </c>
      <c r="P18" s="77">
        <v>60</v>
      </c>
      <c r="Q18" s="77"/>
      <c r="R18" s="77">
        <v>70</v>
      </c>
      <c r="S18" s="77"/>
      <c r="T18" s="77"/>
      <c r="U18" s="77"/>
      <c r="V18" s="77"/>
      <c r="W18" s="78">
        <f t="shared" si="1"/>
        <v>863</v>
      </c>
      <c r="X18" s="16">
        <f t="shared" si="2"/>
        <v>71.916666666666671</v>
      </c>
      <c r="Y18" s="5">
        <f t="shared" si="0"/>
        <v>1</v>
      </c>
      <c r="AA18" s="1" t="str">
        <f>'[1]DATA SISWA'!D21</f>
        <v>Lumajang</v>
      </c>
      <c r="AB18" s="3">
        <f>'[1]DATA SISWA'!E21</f>
        <v>37929</v>
      </c>
      <c r="AC18" s="1" t="str">
        <f>'[1]DATA SISWA'!F21</f>
        <v>Zainul Muttaqin</v>
      </c>
      <c r="AD18" s="1">
        <f>'[1]DATA SISWA'!B21</f>
        <v>4097</v>
      </c>
    </row>
    <row r="19" spans="1:30" ht="22.5" customHeight="1" x14ac:dyDescent="0.25">
      <c r="A19" s="84">
        <v>13</v>
      </c>
      <c r="B19" s="85" t="str">
        <f>IF('DATA SISWA'!C25=0,"",'DATA SISWA'!C25)</f>
        <v>BIMA SATRIA DIRGANTARA</v>
      </c>
      <c r="C19" s="86"/>
      <c r="D19" s="86">
        <v>70</v>
      </c>
      <c r="E19" s="86"/>
      <c r="F19" s="86">
        <v>58</v>
      </c>
      <c r="G19" s="86">
        <v>65</v>
      </c>
      <c r="H19" s="86">
        <v>80</v>
      </c>
      <c r="I19" s="86">
        <v>65</v>
      </c>
      <c r="J19" s="86"/>
      <c r="K19" s="86">
        <v>75</v>
      </c>
      <c r="L19" s="86">
        <v>65</v>
      </c>
      <c r="M19" s="86">
        <v>75</v>
      </c>
      <c r="N19" s="86">
        <v>75</v>
      </c>
      <c r="O19" s="86">
        <v>23</v>
      </c>
      <c r="P19" s="86">
        <v>60</v>
      </c>
      <c r="Q19" s="86"/>
      <c r="R19" s="86">
        <v>60</v>
      </c>
      <c r="S19" s="86"/>
      <c r="T19" s="86"/>
      <c r="U19" s="86"/>
      <c r="V19" s="86"/>
      <c r="W19" s="90">
        <f t="shared" si="1"/>
        <v>771</v>
      </c>
      <c r="X19" s="91">
        <f t="shared" si="2"/>
        <v>64.25</v>
      </c>
      <c r="Y19" s="92">
        <f t="shared" si="0"/>
        <v>20</v>
      </c>
      <c r="AA19" s="1" t="str">
        <f>'[1]DATA SISWA'!D22</f>
        <v>Kampar</v>
      </c>
      <c r="AB19" s="3">
        <f>'[1]DATA SISWA'!E22</f>
        <v>37569</v>
      </c>
      <c r="AC19" s="1" t="str">
        <f>'[1]DATA SISWA'!F22</f>
        <v>Kastin</v>
      </c>
      <c r="AD19" s="1">
        <f>'[1]DATA SISWA'!B22</f>
        <v>4061</v>
      </c>
    </row>
    <row r="20" spans="1:30" ht="22.5" customHeight="1" x14ac:dyDescent="0.25">
      <c r="A20" s="4">
        <v>14</v>
      </c>
      <c r="B20" s="15" t="str">
        <f>IF('DATA SISWA'!C26=0,"",'DATA SISWA'!C26)</f>
        <v>DEVI KARUNIA RATNA PUTRI</v>
      </c>
      <c r="C20" s="77"/>
      <c r="D20" s="77">
        <v>80</v>
      </c>
      <c r="E20" s="77"/>
      <c r="F20" s="77">
        <v>72</v>
      </c>
      <c r="G20" s="77">
        <v>65</v>
      </c>
      <c r="H20" s="77">
        <v>80</v>
      </c>
      <c r="I20" s="77">
        <v>70</v>
      </c>
      <c r="J20" s="77"/>
      <c r="K20" s="77">
        <v>85</v>
      </c>
      <c r="L20" s="77">
        <v>70</v>
      </c>
      <c r="M20" s="77">
        <v>70</v>
      </c>
      <c r="N20" s="77">
        <v>75</v>
      </c>
      <c r="O20" s="77">
        <v>35</v>
      </c>
      <c r="P20" s="77">
        <v>60</v>
      </c>
      <c r="Q20" s="77"/>
      <c r="R20" s="77">
        <v>65</v>
      </c>
      <c r="S20" s="77"/>
      <c r="T20" s="77"/>
      <c r="U20" s="77"/>
      <c r="V20" s="77"/>
      <c r="W20" s="78">
        <f t="shared" si="1"/>
        <v>827</v>
      </c>
      <c r="X20" s="16">
        <f t="shared" si="2"/>
        <v>68.916666666666671</v>
      </c>
      <c r="Y20" s="5">
        <f t="shared" si="0"/>
        <v>6</v>
      </c>
      <c r="AA20" s="1" t="str">
        <f>'[1]DATA SISWA'!D23</f>
        <v>Lumajang</v>
      </c>
      <c r="AB20" s="3">
        <f>'[1]DATA SISWA'!E23</f>
        <v>37759</v>
      </c>
      <c r="AC20" s="1" t="str">
        <f>'[1]DATA SISWA'!F23</f>
        <v>Kholiqul Sulton</v>
      </c>
      <c r="AD20" s="1">
        <f>'[1]DATA SISWA'!B23</f>
        <v>4099</v>
      </c>
    </row>
    <row r="21" spans="1:30" ht="22.5" customHeight="1" x14ac:dyDescent="0.25">
      <c r="A21" s="84">
        <v>15</v>
      </c>
      <c r="B21" s="85" t="str">
        <f>IF('DATA SISWA'!C27=0,"",'DATA SISWA'!C27)</f>
        <v>DEVITA FEBRIANI PUTRI</v>
      </c>
      <c r="C21" s="86"/>
      <c r="D21" s="86">
        <v>82</v>
      </c>
      <c r="E21" s="86"/>
      <c r="F21" s="86">
        <v>49</v>
      </c>
      <c r="G21" s="86">
        <v>65</v>
      </c>
      <c r="H21" s="86">
        <v>80</v>
      </c>
      <c r="I21" s="86">
        <v>70</v>
      </c>
      <c r="J21" s="86"/>
      <c r="K21" s="86">
        <v>85</v>
      </c>
      <c r="L21" s="86">
        <v>70</v>
      </c>
      <c r="M21" s="86">
        <v>70</v>
      </c>
      <c r="N21" s="86">
        <v>75</v>
      </c>
      <c r="O21" s="86">
        <v>30</v>
      </c>
      <c r="P21" s="86">
        <v>60</v>
      </c>
      <c r="Q21" s="86"/>
      <c r="R21" s="86">
        <v>65</v>
      </c>
      <c r="S21" s="86"/>
      <c r="T21" s="86"/>
      <c r="U21" s="86"/>
      <c r="V21" s="86"/>
      <c r="W21" s="90">
        <f t="shared" si="1"/>
        <v>801</v>
      </c>
      <c r="X21" s="91">
        <f t="shared" si="2"/>
        <v>66.75</v>
      </c>
      <c r="Y21" s="92">
        <f t="shared" si="0"/>
        <v>10</v>
      </c>
      <c r="AA21" s="1" t="str">
        <f>'[1]DATA SISWA'!D24</f>
        <v>Lumajang</v>
      </c>
      <c r="AB21" s="3">
        <f>'[1]DATA SISWA'!E24</f>
        <v>37945</v>
      </c>
      <c r="AC21" s="1" t="str">
        <f>'[1]DATA SISWA'!F24</f>
        <v>Ngateno</v>
      </c>
      <c r="AD21" s="1">
        <f>'[1]DATA SISWA'!B24</f>
        <v>4101</v>
      </c>
    </row>
    <row r="22" spans="1:30" ht="22.5" customHeight="1" x14ac:dyDescent="0.25">
      <c r="A22" s="4">
        <v>16</v>
      </c>
      <c r="B22" s="15" t="str">
        <f>IF('DATA SISWA'!C28=0,"",'DATA SISWA'!C28)</f>
        <v>EKA AULIYA` PUTRI</v>
      </c>
      <c r="C22" s="77"/>
      <c r="D22" s="77">
        <v>74</v>
      </c>
      <c r="E22" s="77"/>
      <c r="F22" s="77">
        <v>64</v>
      </c>
      <c r="G22" s="77">
        <v>65</v>
      </c>
      <c r="H22" s="77">
        <v>70</v>
      </c>
      <c r="I22" s="77">
        <v>70</v>
      </c>
      <c r="J22" s="77"/>
      <c r="K22" s="77">
        <v>65</v>
      </c>
      <c r="L22" s="77">
        <v>70</v>
      </c>
      <c r="M22" s="77">
        <v>70</v>
      </c>
      <c r="N22" s="77">
        <v>75</v>
      </c>
      <c r="O22" s="77">
        <v>54</v>
      </c>
      <c r="P22" s="77">
        <v>60</v>
      </c>
      <c r="Q22" s="77"/>
      <c r="R22" s="77">
        <v>70</v>
      </c>
      <c r="S22" s="77"/>
      <c r="T22" s="77"/>
      <c r="U22" s="77"/>
      <c r="V22" s="77"/>
      <c r="W22" s="78">
        <f t="shared" si="1"/>
        <v>807</v>
      </c>
      <c r="X22" s="16">
        <f t="shared" si="2"/>
        <v>67.25</v>
      </c>
      <c r="Y22" s="5">
        <f t="shared" si="0"/>
        <v>9</v>
      </c>
      <c r="AA22" s="1" t="str">
        <f>'[1]DATA SISWA'!D25</f>
        <v>Lumajang</v>
      </c>
      <c r="AB22" s="3">
        <f>'[1]DATA SISWA'!E25</f>
        <v>37957</v>
      </c>
      <c r="AC22" s="1" t="str">
        <f>'[1]DATA SISWA'!F25</f>
        <v>Rahmad Hidayat (Tr)</v>
      </c>
      <c r="AD22" s="1">
        <f>'[1]DATA SISWA'!B25</f>
        <v>4142</v>
      </c>
    </row>
    <row r="23" spans="1:30" ht="22.5" customHeight="1" x14ac:dyDescent="0.25">
      <c r="A23" s="84">
        <v>17</v>
      </c>
      <c r="B23" s="85" t="str">
        <f>IF('DATA SISWA'!C29=0,"",'DATA SISWA'!C29)</f>
        <v>ERSA PUSPITA EKA ROSA LINDA</v>
      </c>
      <c r="C23" s="86"/>
      <c r="D23" s="86">
        <v>62</v>
      </c>
      <c r="E23" s="86"/>
      <c r="F23" s="86">
        <v>61</v>
      </c>
      <c r="G23" s="86">
        <v>65</v>
      </c>
      <c r="H23" s="86">
        <v>70</v>
      </c>
      <c r="I23" s="86">
        <v>70</v>
      </c>
      <c r="J23" s="86"/>
      <c r="K23" s="86">
        <v>75</v>
      </c>
      <c r="L23" s="86">
        <v>70</v>
      </c>
      <c r="M23" s="86">
        <v>70</v>
      </c>
      <c r="N23" s="86">
        <v>75</v>
      </c>
      <c r="O23" s="86">
        <v>35</v>
      </c>
      <c r="P23" s="86">
        <v>60</v>
      </c>
      <c r="Q23" s="86"/>
      <c r="R23" s="86">
        <v>60</v>
      </c>
      <c r="S23" s="86"/>
      <c r="T23" s="86"/>
      <c r="U23" s="86"/>
      <c r="V23" s="86"/>
      <c r="W23" s="90">
        <f t="shared" si="1"/>
        <v>773</v>
      </c>
      <c r="X23" s="91">
        <f t="shared" si="2"/>
        <v>64.416666666666671</v>
      </c>
      <c r="Y23" s="92">
        <f t="shared" si="0"/>
        <v>18</v>
      </c>
      <c r="AA23" s="1" t="str">
        <f>'[1]DATA SISWA'!D26</f>
        <v>Lumajang</v>
      </c>
      <c r="AB23" s="3">
        <f>'[1]DATA SISWA'!E26</f>
        <v>37750</v>
      </c>
      <c r="AC23" s="1" t="str">
        <f>'[1]DATA SISWA'!F26</f>
        <v>Nadim</v>
      </c>
      <c r="AD23" s="1">
        <f>'[1]DATA SISWA'!B26</f>
        <v>4102</v>
      </c>
    </row>
    <row r="24" spans="1:30" ht="22.5" customHeight="1" x14ac:dyDescent="0.25">
      <c r="A24" s="4">
        <v>18</v>
      </c>
      <c r="B24" s="15" t="str">
        <f>IF('DATA SISWA'!C30=0,"",'DATA SISWA'!C30)</f>
        <v>FABIYAN TRI BAKTI OKTAFIAN</v>
      </c>
      <c r="C24" s="77"/>
      <c r="D24" s="77">
        <v>58</v>
      </c>
      <c r="E24" s="77"/>
      <c r="F24" s="77">
        <v>40</v>
      </c>
      <c r="G24" s="77">
        <v>65</v>
      </c>
      <c r="H24" s="77">
        <v>70</v>
      </c>
      <c r="I24" s="77">
        <v>65</v>
      </c>
      <c r="J24" s="77"/>
      <c r="K24" s="77">
        <v>75</v>
      </c>
      <c r="L24" s="77">
        <v>65</v>
      </c>
      <c r="M24" s="77">
        <v>70</v>
      </c>
      <c r="N24" s="77">
        <v>75</v>
      </c>
      <c r="O24" s="77">
        <v>27</v>
      </c>
      <c r="P24" s="77">
        <v>60</v>
      </c>
      <c r="Q24" s="77"/>
      <c r="R24" s="77">
        <v>70</v>
      </c>
      <c r="S24" s="77"/>
      <c r="T24" s="77"/>
      <c r="U24" s="77"/>
      <c r="V24" s="77"/>
      <c r="W24" s="78">
        <f t="shared" si="1"/>
        <v>740</v>
      </c>
      <c r="X24" s="16">
        <f t="shared" si="2"/>
        <v>61.666666666666664</v>
      </c>
      <c r="Y24" s="5">
        <f t="shared" si="0"/>
        <v>25</v>
      </c>
      <c r="AA24" s="1" t="str">
        <f>'[1]DATA SISWA'!D27</f>
        <v>Lumajang</v>
      </c>
      <c r="AB24" s="3">
        <f>'[1]DATA SISWA'!E27</f>
        <v>37739</v>
      </c>
      <c r="AC24" s="1" t="str">
        <f>'[1]DATA SISWA'!F27</f>
        <v>Abdul Ghofur</v>
      </c>
      <c r="AD24" s="1">
        <f>'[1]DATA SISWA'!B27</f>
        <v>4103</v>
      </c>
    </row>
    <row r="25" spans="1:30" ht="22.5" customHeight="1" x14ac:dyDescent="0.25">
      <c r="A25" s="84">
        <v>19</v>
      </c>
      <c r="B25" s="85" t="str">
        <f>IF('DATA SISWA'!C31=0,"",'DATA SISWA'!C31)</f>
        <v>FAKHIS GABRIL LIA</v>
      </c>
      <c r="C25" s="86"/>
      <c r="D25" s="86">
        <v>76</v>
      </c>
      <c r="E25" s="86"/>
      <c r="F25" s="86">
        <v>78</v>
      </c>
      <c r="G25" s="86">
        <v>65</v>
      </c>
      <c r="H25" s="86">
        <v>70</v>
      </c>
      <c r="I25" s="86">
        <v>75</v>
      </c>
      <c r="J25" s="86"/>
      <c r="K25" s="86">
        <v>85</v>
      </c>
      <c r="L25" s="86">
        <v>70</v>
      </c>
      <c r="M25" s="86">
        <v>70</v>
      </c>
      <c r="N25" s="86">
        <v>75</v>
      </c>
      <c r="O25" s="86">
        <v>35</v>
      </c>
      <c r="P25" s="86">
        <v>60</v>
      </c>
      <c r="Q25" s="86"/>
      <c r="R25" s="86">
        <v>70</v>
      </c>
      <c r="S25" s="86"/>
      <c r="T25" s="86"/>
      <c r="U25" s="86"/>
      <c r="V25" s="86"/>
      <c r="W25" s="90">
        <f t="shared" si="1"/>
        <v>829</v>
      </c>
      <c r="X25" s="91">
        <f t="shared" si="2"/>
        <v>69.083333333333329</v>
      </c>
      <c r="Y25" s="92">
        <f t="shared" si="0"/>
        <v>5</v>
      </c>
      <c r="AA25" s="1" t="str">
        <f>'[1]DATA SISWA'!D28</f>
        <v>Lumajang</v>
      </c>
      <c r="AB25" s="3">
        <f>'[1]DATA SISWA'!E28</f>
        <v>38066</v>
      </c>
      <c r="AC25" s="1" t="str">
        <f>'[1]DATA SISWA'!F28</f>
        <v>Sugiarto</v>
      </c>
      <c r="AD25" s="1">
        <f>'[1]DATA SISWA'!B28</f>
        <v>4125</v>
      </c>
    </row>
    <row r="26" spans="1:30" ht="22.5" customHeight="1" x14ac:dyDescent="0.25">
      <c r="A26" s="4">
        <v>20</v>
      </c>
      <c r="B26" s="15" t="str">
        <f>IF('DATA SISWA'!C32=0,"",'DATA SISWA'!C32)</f>
        <v>FELISITA APRILIA NUR NIHAYA</v>
      </c>
      <c r="C26" s="77"/>
      <c r="D26" s="77">
        <v>70</v>
      </c>
      <c r="E26" s="77"/>
      <c r="F26" s="77">
        <v>40</v>
      </c>
      <c r="G26" s="77">
        <v>65</v>
      </c>
      <c r="H26" s="77">
        <v>80</v>
      </c>
      <c r="I26" s="77">
        <v>70</v>
      </c>
      <c r="J26" s="77"/>
      <c r="K26" s="77">
        <v>75</v>
      </c>
      <c r="L26" s="77">
        <v>70</v>
      </c>
      <c r="M26" s="77">
        <v>70</v>
      </c>
      <c r="N26" s="77">
        <v>75</v>
      </c>
      <c r="O26" s="77">
        <v>35</v>
      </c>
      <c r="P26" s="77">
        <v>60</v>
      </c>
      <c r="Q26" s="77"/>
      <c r="R26" s="77">
        <v>70</v>
      </c>
      <c r="S26" s="77"/>
      <c r="T26" s="77"/>
      <c r="U26" s="77"/>
      <c r="V26" s="77"/>
      <c r="W26" s="78">
        <f t="shared" si="1"/>
        <v>780</v>
      </c>
      <c r="X26" s="16">
        <f t="shared" si="2"/>
        <v>65</v>
      </c>
      <c r="Y26" s="5">
        <f t="shared" si="0"/>
        <v>16</v>
      </c>
      <c r="AA26" s="1" t="str">
        <f>'[1]DATA SISWA'!D29</f>
        <v>Lumajang</v>
      </c>
      <c r="AB26" s="3">
        <f>'[1]DATA SISWA'!E29</f>
        <v>38039</v>
      </c>
      <c r="AC26" s="1" t="str">
        <f>'[1]DATA SISWA'!F29</f>
        <v>Zainul Arifin</v>
      </c>
      <c r="AD26" s="1">
        <f>'[1]DATA SISWA'!B29</f>
        <v>4105</v>
      </c>
    </row>
    <row r="27" spans="1:30" ht="22.5" customHeight="1" x14ac:dyDescent="0.25">
      <c r="A27" s="84">
        <v>21</v>
      </c>
      <c r="B27" s="85" t="str">
        <f>IF('DATA SISWA'!C33=0,"",'DATA SISWA'!C33)</f>
        <v>FIRDA DWI ANDRIANI</v>
      </c>
      <c r="C27" s="86"/>
      <c r="D27" s="86">
        <v>50</v>
      </c>
      <c r="E27" s="86"/>
      <c r="F27" s="86">
        <v>44</v>
      </c>
      <c r="G27" s="86">
        <v>65</v>
      </c>
      <c r="H27" s="86">
        <v>80</v>
      </c>
      <c r="I27" s="86">
        <v>60</v>
      </c>
      <c r="J27" s="86"/>
      <c r="K27" s="86">
        <v>75</v>
      </c>
      <c r="L27" s="86">
        <v>65</v>
      </c>
      <c r="M27" s="86">
        <v>70</v>
      </c>
      <c r="N27" s="86">
        <v>75</v>
      </c>
      <c r="O27" s="86">
        <v>23</v>
      </c>
      <c r="P27" s="86">
        <v>60</v>
      </c>
      <c r="Q27" s="86"/>
      <c r="R27" s="86">
        <v>60</v>
      </c>
      <c r="S27" s="86"/>
      <c r="T27" s="86"/>
      <c r="U27" s="86"/>
      <c r="V27" s="86"/>
      <c r="W27" s="90">
        <f t="shared" si="1"/>
        <v>727</v>
      </c>
      <c r="X27" s="91">
        <f t="shared" si="2"/>
        <v>60.583333333333336</v>
      </c>
      <c r="Y27" s="92">
        <f t="shared" si="0"/>
        <v>27</v>
      </c>
      <c r="AA27" s="1" t="str">
        <f>'[1]DATA SISWA'!D30</f>
        <v>Lumajang</v>
      </c>
      <c r="AB27" s="3">
        <f>'[1]DATA SISWA'!E30</f>
        <v>37839</v>
      </c>
      <c r="AC27" s="1" t="str">
        <f>'[1]DATA SISWA'!F30</f>
        <v>Amirudin</v>
      </c>
      <c r="AD27" s="1">
        <f>'[1]DATA SISWA'!B30</f>
        <v>4108</v>
      </c>
    </row>
    <row r="28" spans="1:30" ht="22.5" customHeight="1" x14ac:dyDescent="0.25">
      <c r="A28" s="4">
        <v>22</v>
      </c>
      <c r="B28" s="15" t="str">
        <f>IF('DATA SISWA'!C34=0,"",'DATA SISWA'!C34)</f>
        <v>GALANG MARDHOTILLAH SATOTO</v>
      </c>
      <c r="C28" s="77"/>
      <c r="D28" s="77">
        <v>64</v>
      </c>
      <c r="E28" s="77"/>
      <c r="F28" s="77">
        <v>68</v>
      </c>
      <c r="G28" s="77">
        <v>65</v>
      </c>
      <c r="H28" s="77">
        <v>70</v>
      </c>
      <c r="I28" s="77">
        <v>60</v>
      </c>
      <c r="J28" s="77"/>
      <c r="K28" s="77">
        <v>75</v>
      </c>
      <c r="L28" s="77">
        <v>70</v>
      </c>
      <c r="M28" s="77">
        <v>70</v>
      </c>
      <c r="N28" s="77">
        <v>75</v>
      </c>
      <c r="O28" s="77">
        <v>23</v>
      </c>
      <c r="P28" s="77">
        <v>60</v>
      </c>
      <c r="Q28" s="77"/>
      <c r="R28" s="77">
        <v>60</v>
      </c>
      <c r="S28" s="77"/>
      <c r="T28" s="77"/>
      <c r="U28" s="77"/>
      <c r="V28" s="77"/>
      <c r="W28" s="78">
        <f t="shared" si="1"/>
        <v>760</v>
      </c>
      <c r="X28" s="16">
        <f t="shared" si="2"/>
        <v>63.333333333333336</v>
      </c>
      <c r="Y28" s="5">
        <f t="shared" si="0"/>
        <v>23</v>
      </c>
      <c r="AA28" s="1" t="str">
        <f>'[1]DATA SISWA'!D31</f>
        <v>Lumajang</v>
      </c>
      <c r="AB28" s="3">
        <f>'[1]DATA SISWA'!E31</f>
        <v>37492</v>
      </c>
      <c r="AC28" s="1" t="str">
        <f>'[1]DATA SISWA'!F31</f>
        <v>Sumarno</v>
      </c>
      <c r="AD28" s="1">
        <f>'[1]DATA SISWA'!B31</f>
        <v>4140</v>
      </c>
    </row>
    <row r="29" spans="1:30" ht="22.5" customHeight="1" x14ac:dyDescent="0.25">
      <c r="A29" s="84">
        <v>23</v>
      </c>
      <c r="B29" s="85" t="str">
        <f>IF('DATA SISWA'!C35=0,"",'DATA SISWA'!C35)</f>
        <v>GALIH FAREL PRASETYO</v>
      </c>
      <c r="C29" s="86"/>
      <c r="D29" s="86">
        <v>70</v>
      </c>
      <c r="E29" s="86"/>
      <c r="F29" s="86">
        <v>64</v>
      </c>
      <c r="G29" s="86">
        <v>65</v>
      </c>
      <c r="H29" s="86">
        <v>80</v>
      </c>
      <c r="I29" s="86">
        <v>70</v>
      </c>
      <c r="J29" s="86"/>
      <c r="K29" s="86">
        <v>70</v>
      </c>
      <c r="L29" s="86">
        <v>70</v>
      </c>
      <c r="M29" s="86">
        <v>70</v>
      </c>
      <c r="N29" s="86">
        <v>75</v>
      </c>
      <c r="O29" s="86">
        <v>15</v>
      </c>
      <c r="P29" s="86">
        <v>60</v>
      </c>
      <c r="Q29" s="86"/>
      <c r="R29" s="86">
        <v>70</v>
      </c>
      <c r="S29" s="86"/>
      <c r="T29" s="86"/>
      <c r="U29" s="86"/>
      <c r="V29" s="86"/>
      <c r="W29" s="90">
        <f t="shared" si="1"/>
        <v>779</v>
      </c>
      <c r="X29" s="91">
        <f t="shared" si="2"/>
        <v>64.916666666666671</v>
      </c>
      <c r="Y29" s="92">
        <f t="shared" si="0"/>
        <v>17</v>
      </c>
      <c r="AA29" s="1" t="str">
        <f>'[1]DATA SISWA'!D32</f>
        <v>Lumajang</v>
      </c>
      <c r="AB29" s="3">
        <f>'[1]DATA SISWA'!E32</f>
        <v>37592</v>
      </c>
      <c r="AC29" s="1" t="str">
        <f>'[1]DATA SISWA'!F32</f>
        <v>Mahmud</v>
      </c>
      <c r="AD29" s="1">
        <f>'[1]DATA SISWA'!B32</f>
        <v>4130</v>
      </c>
    </row>
    <row r="30" spans="1:30" ht="22.5" customHeight="1" x14ac:dyDescent="0.25">
      <c r="A30" s="4">
        <v>24</v>
      </c>
      <c r="B30" s="15" t="str">
        <f>IF('DATA SISWA'!C36=0,"",'DATA SISWA'!C36)</f>
        <v>GILANG AKBAR PRASETYO</v>
      </c>
      <c r="C30" s="77"/>
      <c r="D30" s="77">
        <v>50</v>
      </c>
      <c r="E30" s="77"/>
      <c r="F30" s="77">
        <v>43</v>
      </c>
      <c r="G30" s="77">
        <v>65</v>
      </c>
      <c r="H30" s="77">
        <v>70</v>
      </c>
      <c r="I30" s="77">
        <v>60</v>
      </c>
      <c r="J30" s="77"/>
      <c r="K30" s="77">
        <v>65</v>
      </c>
      <c r="L30" s="77">
        <v>70</v>
      </c>
      <c r="M30" s="77">
        <v>70</v>
      </c>
      <c r="N30" s="77">
        <v>75</v>
      </c>
      <c r="O30" s="77">
        <v>19</v>
      </c>
      <c r="P30" s="77">
        <v>60</v>
      </c>
      <c r="Q30" s="77"/>
      <c r="R30" s="77">
        <v>60</v>
      </c>
      <c r="S30" s="77"/>
      <c r="T30" s="77"/>
      <c r="U30" s="77"/>
      <c r="V30" s="77"/>
      <c r="W30" s="78">
        <f t="shared" si="1"/>
        <v>707</v>
      </c>
      <c r="X30" s="16">
        <f t="shared" si="2"/>
        <v>58.916666666666664</v>
      </c>
      <c r="Y30" s="5">
        <f t="shared" si="0"/>
        <v>31</v>
      </c>
      <c r="AA30" s="1" t="str">
        <f>'[1]DATA SISWA'!D33</f>
        <v>Lumajang</v>
      </c>
      <c r="AB30" s="3">
        <f>'[1]DATA SISWA'!E33</f>
        <v>37740</v>
      </c>
      <c r="AC30" s="1" t="str">
        <f>'[1]DATA SISWA'!F33</f>
        <v>Miftahul Hadi</v>
      </c>
      <c r="AD30" s="1">
        <f>'[1]DATA SISWA'!B33</f>
        <v>4112</v>
      </c>
    </row>
    <row r="31" spans="1:30" ht="22.5" customHeight="1" x14ac:dyDescent="0.25">
      <c r="A31" s="84">
        <v>25</v>
      </c>
      <c r="B31" s="85" t="str">
        <f>IF('DATA SISWA'!C37=0,"",'DATA SISWA'!C37)</f>
        <v>HADI GUNAWAN</v>
      </c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90">
        <f t="shared" si="1"/>
        <v>0</v>
      </c>
      <c r="X31" s="91" t="str">
        <f t="shared" si="2"/>
        <v/>
      </c>
      <c r="Y31" s="92">
        <f t="shared" si="0"/>
        <v>33</v>
      </c>
      <c r="AA31" s="1" t="str">
        <f>'[1]DATA SISWA'!D34</f>
        <v>Lumajang</v>
      </c>
      <c r="AB31" s="3">
        <f>'[1]DATA SISWA'!E34</f>
        <v>37941</v>
      </c>
      <c r="AC31" s="1" t="str">
        <f>'[1]DATA SISWA'!F34</f>
        <v>Mohamad Yusuf</v>
      </c>
      <c r="AD31" s="1">
        <f>'[1]DATA SISWA'!B34</f>
        <v>4113</v>
      </c>
    </row>
    <row r="32" spans="1:30" ht="22.5" customHeight="1" x14ac:dyDescent="0.25">
      <c r="A32" s="4">
        <v>26</v>
      </c>
      <c r="B32" s="15" t="str">
        <f>IF('DATA SISWA'!C38=0,"",'DATA SISWA'!C38)</f>
        <v>IKA KURNIA WATI AGUSTINA</v>
      </c>
      <c r="C32" s="77"/>
      <c r="D32" s="77">
        <v>61</v>
      </c>
      <c r="E32" s="77"/>
      <c r="F32" s="77">
        <v>6</v>
      </c>
      <c r="G32" s="77">
        <v>65</v>
      </c>
      <c r="H32" s="77">
        <v>70</v>
      </c>
      <c r="I32" s="77">
        <v>70</v>
      </c>
      <c r="J32" s="77"/>
      <c r="K32" s="77">
        <v>70</v>
      </c>
      <c r="L32" s="77">
        <v>75</v>
      </c>
      <c r="M32" s="77">
        <v>70</v>
      </c>
      <c r="N32" s="77">
        <v>75</v>
      </c>
      <c r="O32" s="77">
        <v>26</v>
      </c>
      <c r="P32" s="77">
        <v>60</v>
      </c>
      <c r="Q32" s="77"/>
      <c r="R32" s="77">
        <v>60</v>
      </c>
      <c r="S32" s="77"/>
      <c r="T32" s="77"/>
      <c r="U32" s="77"/>
      <c r="V32" s="77"/>
      <c r="W32" s="78">
        <f t="shared" si="1"/>
        <v>708</v>
      </c>
      <c r="X32" s="16">
        <f t="shared" si="2"/>
        <v>59</v>
      </c>
      <c r="Y32" s="5">
        <f t="shared" si="0"/>
        <v>30</v>
      </c>
      <c r="AA32" s="1" t="str">
        <f>'[1]DATA SISWA'!D35</f>
        <v>Lumajang</v>
      </c>
      <c r="AB32" s="3">
        <f>'[1]DATA SISWA'!E35</f>
        <v>38145</v>
      </c>
      <c r="AC32" s="1" t="str">
        <f>'[1]DATA SISWA'!F35</f>
        <v>Timbul</v>
      </c>
      <c r="AD32" s="1">
        <f>'[1]DATA SISWA'!B35</f>
        <v>4114</v>
      </c>
    </row>
    <row r="33" spans="1:30" ht="22.5" customHeight="1" x14ac:dyDescent="0.25">
      <c r="A33" s="84">
        <v>27</v>
      </c>
      <c r="B33" s="85" t="str">
        <f>IF('DATA SISWA'!C39=0,"",'DATA SISWA'!C39)</f>
        <v>IYAAD  AFLAKHA RAMZII</v>
      </c>
      <c r="C33" s="86"/>
      <c r="D33" s="86">
        <v>68</v>
      </c>
      <c r="E33" s="86"/>
      <c r="F33" s="86">
        <v>60</v>
      </c>
      <c r="G33" s="86">
        <v>65</v>
      </c>
      <c r="H33" s="86">
        <v>80</v>
      </c>
      <c r="I33" s="86">
        <v>75</v>
      </c>
      <c r="J33" s="86"/>
      <c r="K33" s="86">
        <v>70</v>
      </c>
      <c r="L33" s="86">
        <v>75</v>
      </c>
      <c r="M33" s="86">
        <v>75</v>
      </c>
      <c r="N33" s="86">
        <v>75</v>
      </c>
      <c r="O33" s="86">
        <v>15</v>
      </c>
      <c r="P33" s="86">
        <v>60</v>
      </c>
      <c r="Q33" s="86"/>
      <c r="R33" s="86">
        <v>70</v>
      </c>
      <c r="S33" s="86"/>
      <c r="T33" s="86"/>
      <c r="U33" s="86"/>
      <c r="V33" s="86"/>
      <c r="W33" s="90">
        <f t="shared" si="1"/>
        <v>788</v>
      </c>
      <c r="X33" s="91">
        <f t="shared" si="2"/>
        <v>65.666666666666671</v>
      </c>
      <c r="Y33" s="92">
        <f t="shared" si="0"/>
        <v>13</v>
      </c>
      <c r="AA33" s="1" t="str">
        <f>'[1]DATA SISWA'!D36</f>
        <v>Lumajang</v>
      </c>
      <c r="AB33" s="3">
        <f>'[1]DATA SISWA'!E36</f>
        <v>37902</v>
      </c>
      <c r="AC33" s="1" t="str">
        <f>'[1]DATA SISWA'!F36</f>
        <v>Masduki</v>
      </c>
      <c r="AD33" s="1">
        <f>'[1]DATA SISWA'!B36</f>
        <v>4115</v>
      </c>
    </row>
    <row r="34" spans="1:30" ht="22.5" customHeight="1" x14ac:dyDescent="0.25">
      <c r="A34" s="4">
        <v>28</v>
      </c>
      <c r="B34" s="15" t="str">
        <f>IF('DATA SISWA'!C40=0,"",'DATA SISWA'!C40)</f>
        <v>JULI ANDRIYANTO</v>
      </c>
      <c r="C34" s="77"/>
      <c r="D34" s="77">
        <v>53</v>
      </c>
      <c r="E34" s="77"/>
      <c r="F34" s="77">
        <v>54</v>
      </c>
      <c r="G34" s="77">
        <v>65</v>
      </c>
      <c r="H34" s="77">
        <v>70</v>
      </c>
      <c r="I34" s="77">
        <v>65</v>
      </c>
      <c r="J34" s="77"/>
      <c r="K34" s="77">
        <v>70</v>
      </c>
      <c r="L34" s="77">
        <v>75</v>
      </c>
      <c r="M34" s="77">
        <v>70</v>
      </c>
      <c r="N34" s="77">
        <v>75</v>
      </c>
      <c r="O34" s="77">
        <v>35</v>
      </c>
      <c r="P34" s="77">
        <v>60</v>
      </c>
      <c r="Q34" s="77"/>
      <c r="R34" s="77">
        <v>60</v>
      </c>
      <c r="S34" s="77"/>
      <c r="T34" s="77"/>
      <c r="U34" s="77"/>
      <c r="V34" s="77"/>
      <c r="W34" s="78">
        <f t="shared" si="1"/>
        <v>752</v>
      </c>
      <c r="X34" s="16">
        <f t="shared" si="2"/>
        <v>62.666666666666664</v>
      </c>
      <c r="Y34" s="5">
        <f t="shared" si="0"/>
        <v>24</v>
      </c>
      <c r="AA34" s="1" t="str">
        <f>'[1]DATA SISWA'!D37</f>
        <v>Lumajang</v>
      </c>
      <c r="AB34" s="3">
        <f>'[1]DATA SISWA'!E37</f>
        <v>38007</v>
      </c>
      <c r="AC34" s="1" t="str">
        <f>'[1]DATA SISWA'!F37</f>
        <v>M. Khamdani Syaifullah</v>
      </c>
      <c r="AD34" s="1">
        <f>'[1]DATA SISWA'!B37</f>
        <v>4116</v>
      </c>
    </row>
    <row r="35" spans="1:30" ht="22.5" customHeight="1" x14ac:dyDescent="0.25">
      <c r="A35" s="84">
        <v>29</v>
      </c>
      <c r="B35" s="85" t="str">
        <f>IF('DATA SISWA'!C41=0,"",'DATA SISWA'!C41)</f>
        <v>M. RIZKY RIDWAN</v>
      </c>
      <c r="C35" s="86"/>
      <c r="D35" s="86">
        <v>44</v>
      </c>
      <c r="E35" s="86"/>
      <c r="F35" s="86">
        <v>26</v>
      </c>
      <c r="G35" s="86">
        <v>65</v>
      </c>
      <c r="H35" s="86">
        <v>70</v>
      </c>
      <c r="I35" s="86">
        <v>70</v>
      </c>
      <c r="J35" s="86"/>
      <c r="K35" s="86">
        <v>70</v>
      </c>
      <c r="L35" s="86">
        <v>65</v>
      </c>
      <c r="M35" s="86">
        <v>70</v>
      </c>
      <c r="N35" s="86">
        <v>75</v>
      </c>
      <c r="O35" s="86">
        <v>29</v>
      </c>
      <c r="P35" s="86">
        <v>60</v>
      </c>
      <c r="Q35" s="86"/>
      <c r="R35" s="86">
        <v>70</v>
      </c>
      <c r="S35" s="86"/>
      <c r="T35" s="86"/>
      <c r="U35" s="86"/>
      <c r="V35" s="86"/>
      <c r="W35" s="90">
        <f t="shared" si="1"/>
        <v>714</v>
      </c>
      <c r="X35" s="91">
        <f t="shared" si="2"/>
        <v>59.5</v>
      </c>
      <c r="Y35" s="92">
        <f t="shared" si="0"/>
        <v>28</v>
      </c>
      <c r="AA35" s="1" t="str">
        <f>'[1]DATA SISWA'!D38</f>
        <v>Lumajang</v>
      </c>
      <c r="AB35" s="3">
        <f>'[1]DATA SISWA'!E38</f>
        <v>37888</v>
      </c>
      <c r="AC35" s="1" t="str">
        <f>'[1]DATA SISWA'!F38</f>
        <v>Suyanto</v>
      </c>
      <c r="AD35" s="1">
        <f>'[1]DATA SISWA'!B38</f>
        <v>4117</v>
      </c>
    </row>
    <row r="36" spans="1:30" ht="22.5" customHeight="1" x14ac:dyDescent="0.25">
      <c r="A36" s="4">
        <v>30</v>
      </c>
      <c r="B36" s="15" t="str">
        <f>IF('DATA SISWA'!C42=0,"",'DATA SISWA'!C42)</f>
        <v>MOCHAMAD RAFLI DIAN SAPUTRA</v>
      </c>
      <c r="C36" s="77"/>
      <c r="D36" s="77">
        <v>69</v>
      </c>
      <c r="E36" s="77"/>
      <c r="F36" s="77">
        <v>54</v>
      </c>
      <c r="G36" s="77">
        <v>65</v>
      </c>
      <c r="H36" s="77">
        <v>80</v>
      </c>
      <c r="I36" s="77">
        <v>65</v>
      </c>
      <c r="J36" s="77"/>
      <c r="K36" s="77">
        <v>70</v>
      </c>
      <c r="L36" s="77">
        <v>75</v>
      </c>
      <c r="M36" s="77">
        <v>70</v>
      </c>
      <c r="N36" s="77">
        <v>75</v>
      </c>
      <c r="O36" s="77">
        <v>30</v>
      </c>
      <c r="P36" s="77">
        <v>60</v>
      </c>
      <c r="Q36" s="77"/>
      <c r="R36" s="77">
        <v>60</v>
      </c>
      <c r="S36" s="77"/>
      <c r="T36" s="77"/>
      <c r="U36" s="77"/>
      <c r="V36" s="77"/>
      <c r="W36" s="78">
        <f t="shared" si="1"/>
        <v>773</v>
      </c>
      <c r="X36" s="16">
        <f t="shared" si="2"/>
        <v>64.416666666666671</v>
      </c>
      <c r="Y36" s="5">
        <f t="shared" si="0"/>
        <v>18</v>
      </c>
      <c r="AB36" s="3"/>
    </row>
    <row r="37" spans="1:30" ht="22.5" customHeight="1" x14ac:dyDescent="0.25">
      <c r="A37" s="84">
        <v>31</v>
      </c>
      <c r="B37" s="85" t="str">
        <f>IF('DATA SISWA'!C43=0,"",'DATA SISWA'!C43)</f>
        <v>MUHAMMAD ALVIN RIDHO</v>
      </c>
      <c r="C37" s="86"/>
      <c r="D37" s="86">
        <v>70</v>
      </c>
      <c r="E37" s="86"/>
      <c r="F37" s="86">
        <v>68</v>
      </c>
      <c r="G37" s="86">
        <v>65</v>
      </c>
      <c r="H37" s="86">
        <v>80</v>
      </c>
      <c r="I37" s="86">
        <v>65</v>
      </c>
      <c r="J37" s="86"/>
      <c r="K37" s="86">
        <v>70</v>
      </c>
      <c r="L37" s="86">
        <v>70</v>
      </c>
      <c r="M37" s="86">
        <v>75</v>
      </c>
      <c r="N37" s="86">
        <v>75</v>
      </c>
      <c r="O37" s="86">
        <v>35</v>
      </c>
      <c r="P37" s="86">
        <v>60</v>
      </c>
      <c r="Q37" s="86"/>
      <c r="R37" s="86">
        <v>60</v>
      </c>
      <c r="S37" s="86">
        <v>70</v>
      </c>
      <c r="T37" s="86"/>
      <c r="U37" s="86"/>
      <c r="V37" s="86"/>
      <c r="W37" s="90">
        <f t="shared" si="1"/>
        <v>863</v>
      </c>
      <c r="X37" s="91">
        <f t="shared" si="2"/>
        <v>66.384615384615387</v>
      </c>
      <c r="Y37" s="92">
        <f t="shared" si="0"/>
        <v>1</v>
      </c>
      <c r="AB37" s="3"/>
    </row>
    <row r="38" spans="1:30" ht="22.5" customHeight="1" x14ac:dyDescent="0.25">
      <c r="A38" s="4">
        <v>32</v>
      </c>
      <c r="B38" s="15" t="str">
        <f>IF('DATA SISWA'!C44=0,"",'DATA SISWA'!C44)</f>
        <v>STANY RAFIDAH RAHMANIA</v>
      </c>
      <c r="C38" s="77"/>
      <c r="D38" s="77">
        <v>46</v>
      </c>
      <c r="E38" s="77"/>
      <c r="F38" s="77">
        <v>38</v>
      </c>
      <c r="G38" s="77">
        <v>65</v>
      </c>
      <c r="H38" s="77">
        <v>70</v>
      </c>
      <c r="I38" s="77">
        <v>65</v>
      </c>
      <c r="J38" s="77"/>
      <c r="K38" s="77">
        <v>70</v>
      </c>
      <c r="L38" s="77">
        <v>75</v>
      </c>
      <c r="M38" s="77">
        <v>70</v>
      </c>
      <c r="N38" s="77">
        <v>75</v>
      </c>
      <c r="O38" s="77">
        <v>19</v>
      </c>
      <c r="P38" s="77">
        <v>60</v>
      </c>
      <c r="Q38" s="77"/>
      <c r="R38" s="77">
        <v>60</v>
      </c>
      <c r="S38" s="77">
        <v>70</v>
      </c>
      <c r="T38" s="77"/>
      <c r="U38" s="77"/>
      <c r="V38" s="77"/>
      <c r="W38" s="78">
        <f t="shared" si="1"/>
        <v>783</v>
      </c>
      <c r="X38" s="16">
        <f t="shared" si="2"/>
        <v>60.230769230769234</v>
      </c>
      <c r="Y38" s="5">
        <f t="shared" si="0"/>
        <v>15</v>
      </c>
      <c r="AB38" s="3"/>
    </row>
    <row r="39" spans="1:30" ht="22.5" customHeight="1" x14ac:dyDescent="0.25">
      <c r="A39" s="84">
        <v>33</v>
      </c>
      <c r="B39" s="85" t="str">
        <f>IF('DATA SISWA'!C45=0,"",'DATA SISWA'!C45)</f>
        <v>USWATUN KHASANAH</v>
      </c>
      <c r="C39" s="86"/>
      <c r="D39" s="86">
        <v>56</v>
      </c>
      <c r="E39" s="86"/>
      <c r="F39" s="86">
        <v>52</v>
      </c>
      <c r="G39" s="86">
        <v>65</v>
      </c>
      <c r="H39" s="86">
        <v>70</v>
      </c>
      <c r="I39" s="86">
        <v>70</v>
      </c>
      <c r="J39" s="86"/>
      <c r="K39" s="86">
        <v>70</v>
      </c>
      <c r="L39" s="86">
        <v>65</v>
      </c>
      <c r="M39" s="86">
        <v>70</v>
      </c>
      <c r="N39" s="86">
        <v>75</v>
      </c>
      <c r="O39" s="86">
        <v>26</v>
      </c>
      <c r="P39" s="86">
        <v>60</v>
      </c>
      <c r="Q39" s="86"/>
      <c r="R39" s="86">
        <v>60</v>
      </c>
      <c r="S39" s="86">
        <v>70</v>
      </c>
      <c r="T39" s="86"/>
      <c r="U39" s="86"/>
      <c r="V39" s="86"/>
      <c r="W39" s="90">
        <f t="shared" si="1"/>
        <v>809</v>
      </c>
      <c r="X39" s="91">
        <f t="shared" si="2"/>
        <v>62.230769230769234</v>
      </c>
      <c r="Y39" s="92">
        <f t="shared" si="0"/>
        <v>8</v>
      </c>
      <c r="AB39" s="3"/>
    </row>
    <row r="40" spans="1:30" ht="22.5" customHeight="1" x14ac:dyDescent="0.25">
      <c r="A40" s="4">
        <v>34</v>
      </c>
      <c r="B40" s="15" t="str">
        <f>IF('DATA SISWA'!C46=0,"",'DATA SISWA'!C46)</f>
        <v/>
      </c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8">
        <f t="shared" si="1"/>
        <v>0</v>
      </c>
      <c r="X40" s="16" t="str">
        <f t="shared" si="2"/>
        <v/>
      </c>
      <c r="Y40" s="5">
        <f t="shared" si="0"/>
        <v>33</v>
      </c>
      <c r="AB40" s="3"/>
    </row>
    <row r="41" spans="1:30" ht="22.5" customHeight="1" x14ac:dyDescent="0.25">
      <c r="A41" s="84">
        <v>35</v>
      </c>
      <c r="B41" s="85" t="str">
        <f>IF('DATA SISWA'!C47=0,"",'DATA SISWA'!C47)</f>
        <v/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90">
        <f t="shared" si="1"/>
        <v>0</v>
      </c>
      <c r="X41" s="91" t="str">
        <f t="shared" si="2"/>
        <v/>
      </c>
      <c r="Y41" s="92">
        <f t="shared" si="0"/>
        <v>33</v>
      </c>
      <c r="AA41" s="1">
        <f>'[1]DATA SISWA'!D39</f>
        <v>0</v>
      </c>
      <c r="AB41" s="3">
        <f>'[1]DATA SISWA'!E39</f>
        <v>0</v>
      </c>
      <c r="AC41" s="1">
        <f>'[1]DATA SISWA'!F39</f>
        <v>0</v>
      </c>
      <c r="AD41" s="1">
        <f>'[1]DATA SISWA'!B39</f>
        <v>0</v>
      </c>
    </row>
    <row r="42" spans="1:30" ht="23.1" customHeight="1" x14ac:dyDescent="0.25">
      <c r="A42" s="4">
        <v>36</v>
      </c>
      <c r="B42" s="15" t="str">
        <f>IF('DATA SISWA'!C48=0,"",'DATA SISWA'!C48)</f>
        <v/>
      </c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8">
        <f t="shared" si="1"/>
        <v>0</v>
      </c>
      <c r="X42" s="16" t="str">
        <f t="shared" si="2"/>
        <v/>
      </c>
      <c r="Y42" s="5">
        <f t="shared" si="0"/>
        <v>33</v>
      </c>
    </row>
    <row r="43" spans="1:30" ht="23.1" customHeight="1" x14ac:dyDescent="0.25">
      <c r="A43" s="84">
        <v>37</v>
      </c>
      <c r="B43" s="85" t="str">
        <f>IF('DATA SISWA'!C49=0,"",'DATA SISWA'!C49)</f>
        <v/>
      </c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90">
        <f t="shared" si="1"/>
        <v>0</v>
      </c>
      <c r="X43" s="91" t="str">
        <f t="shared" si="2"/>
        <v/>
      </c>
      <c r="Y43" s="92">
        <f t="shared" si="0"/>
        <v>33</v>
      </c>
    </row>
    <row r="44" spans="1:30" ht="23.1" customHeight="1" x14ac:dyDescent="0.25">
      <c r="A44" s="4">
        <v>38</v>
      </c>
      <c r="B44" s="15" t="str">
        <f>IF('DATA SISWA'!C50=0,"",'DATA SISWA'!C50)</f>
        <v/>
      </c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8">
        <f t="shared" si="1"/>
        <v>0</v>
      </c>
      <c r="X44" s="16" t="str">
        <f t="shared" si="2"/>
        <v/>
      </c>
      <c r="Y44" s="5">
        <f t="shared" si="0"/>
        <v>33</v>
      </c>
    </row>
    <row r="45" spans="1:30" ht="23.1" customHeight="1" x14ac:dyDescent="0.25">
      <c r="A45" s="84">
        <v>39</v>
      </c>
      <c r="B45" s="85" t="str">
        <f>IF('DATA SISWA'!C51=0,"",'DATA SISWA'!C51)</f>
        <v/>
      </c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90">
        <f t="shared" si="1"/>
        <v>0</v>
      </c>
      <c r="X45" s="91" t="str">
        <f t="shared" si="2"/>
        <v/>
      </c>
      <c r="Y45" s="92">
        <f t="shared" si="0"/>
        <v>33</v>
      </c>
    </row>
    <row r="46" spans="1:30" ht="23.1" customHeight="1" x14ac:dyDescent="0.25">
      <c r="A46" s="4">
        <v>40</v>
      </c>
      <c r="B46" s="15" t="str">
        <f>IF('DATA SISWA'!C52=0,"",'DATA SISWA'!C52)</f>
        <v/>
      </c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8">
        <f t="shared" si="1"/>
        <v>0</v>
      </c>
      <c r="X46" s="16" t="str">
        <f t="shared" si="2"/>
        <v/>
      </c>
      <c r="Y46" s="5">
        <f t="shared" si="0"/>
        <v>33</v>
      </c>
    </row>
    <row r="47" spans="1:30" ht="23.1" customHeight="1" x14ac:dyDescent="0.25">
      <c r="A47" s="84">
        <v>41</v>
      </c>
      <c r="B47" s="85" t="str">
        <f>IF('DATA SISWA'!C53=0,"",'DATA SISWA'!C53)</f>
        <v/>
      </c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90">
        <f t="shared" si="1"/>
        <v>0</v>
      </c>
      <c r="X47" s="91" t="str">
        <f t="shared" si="2"/>
        <v/>
      </c>
      <c r="Y47" s="92">
        <f t="shared" si="0"/>
        <v>33</v>
      </c>
    </row>
    <row r="48" spans="1:30" ht="23.1" customHeight="1" x14ac:dyDescent="0.25">
      <c r="A48" s="4">
        <v>42</v>
      </c>
      <c r="B48" s="15" t="str">
        <f>IF('DATA SISWA'!C54=0,"",'DATA SISWA'!C54)</f>
        <v/>
      </c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8">
        <f t="shared" si="1"/>
        <v>0</v>
      </c>
      <c r="X48" s="16" t="str">
        <f t="shared" si="2"/>
        <v/>
      </c>
      <c r="Y48" s="5">
        <f t="shared" si="0"/>
        <v>33</v>
      </c>
    </row>
    <row r="49" spans="1:25" ht="23.1" customHeight="1" x14ac:dyDescent="0.25">
      <c r="A49" s="84">
        <v>43</v>
      </c>
      <c r="B49" s="85" t="str">
        <f>IF('DATA SISWA'!C55=0,"",'DATA SISWA'!C55)</f>
        <v/>
      </c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90">
        <f>SUM(C49:T49)</f>
        <v>0</v>
      </c>
      <c r="X49" s="91" t="str">
        <f>IF(ISERROR(AVERAGE(C49:T49)),"",AVERAGE(C49:T49))</f>
        <v/>
      </c>
      <c r="Y49" s="92">
        <f t="shared" si="0"/>
        <v>33</v>
      </c>
    </row>
    <row r="50" spans="1:25" ht="23.1" customHeight="1" x14ac:dyDescent="0.25">
      <c r="A50" s="4">
        <v>44</v>
      </c>
      <c r="B50" s="15" t="str">
        <f>IF('DATA SISWA'!C56=0,"",'DATA SISWA'!C56)</f>
        <v/>
      </c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8">
        <f>SUM(C50:T50)</f>
        <v>0</v>
      </c>
      <c r="X50" s="16" t="str">
        <f>IF(ISERROR(AVERAGE(C50:T50)),"",AVERAGE(C50:T50))</f>
        <v/>
      </c>
      <c r="Y50" s="5">
        <f t="shared" si="0"/>
        <v>33</v>
      </c>
    </row>
    <row r="51" spans="1:25" ht="23.1" customHeight="1" x14ac:dyDescent="0.25">
      <c r="A51" s="84">
        <v>45</v>
      </c>
      <c r="B51" s="85" t="str">
        <f>IF('DATA SISWA'!C57=0,"",'DATA SISWA'!C57)</f>
        <v/>
      </c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90">
        <f t="shared" ref="W51:W56" si="3">SUM(C51:T51)</f>
        <v>0</v>
      </c>
      <c r="X51" s="91" t="str">
        <f t="shared" ref="X51:X56" si="4">IF(ISERROR(AVERAGE(C51:T51)),"",AVERAGE(C51:T51))</f>
        <v/>
      </c>
      <c r="Y51" s="92">
        <f t="shared" si="0"/>
        <v>33</v>
      </c>
    </row>
    <row r="52" spans="1:25" ht="23.1" customHeight="1" x14ac:dyDescent="0.25">
      <c r="A52" s="4">
        <v>46</v>
      </c>
      <c r="B52" s="15" t="str">
        <f>IF('DATA SISWA'!C58=0,"",'DATA SISWA'!C58)</f>
        <v/>
      </c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8">
        <f t="shared" si="3"/>
        <v>0</v>
      </c>
      <c r="X52" s="16" t="str">
        <f t="shared" si="4"/>
        <v/>
      </c>
      <c r="Y52" s="5">
        <f t="shared" si="0"/>
        <v>33</v>
      </c>
    </row>
    <row r="53" spans="1:25" ht="23.1" customHeight="1" x14ac:dyDescent="0.25">
      <c r="A53" s="84">
        <v>47</v>
      </c>
      <c r="B53" s="85" t="str">
        <f>IF('DATA SISWA'!C59=0,"",'DATA SISWA'!C59)</f>
        <v/>
      </c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90">
        <f t="shared" si="3"/>
        <v>0</v>
      </c>
      <c r="X53" s="91" t="str">
        <f t="shared" si="4"/>
        <v/>
      </c>
      <c r="Y53" s="92">
        <f t="shared" si="0"/>
        <v>33</v>
      </c>
    </row>
    <row r="54" spans="1:25" ht="23.1" customHeight="1" x14ac:dyDescent="0.25">
      <c r="A54" s="4">
        <v>48</v>
      </c>
      <c r="B54" s="15" t="str">
        <f>IF('DATA SISWA'!C60=0,"",'DATA SISWA'!C60)</f>
        <v/>
      </c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8">
        <f t="shared" si="3"/>
        <v>0</v>
      </c>
      <c r="X54" s="16" t="str">
        <f t="shared" si="4"/>
        <v/>
      </c>
      <c r="Y54" s="5">
        <f t="shared" si="0"/>
        <v>33</v>
      </c>
    </row>
    <row r="55" spans="1:25" ht="23.1" customHeight="1" x14ac:dyDescent="0.25">
      <c r="A55" s="84">
        <v>49</v>
      </c>
      <c r="B55" s="85" t="str">
        <f>IF('DATA SISWA'!C61=0,"",'DATA SISWA'!C61)</f>
        <v/>
      </c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90">
        <f t="shared" si="3"/>
        <v>0</v>
      </c>
      <c r="X55" s="91" t="str">
        <f t="shared" si="4"/>
        <v/>
      </c>
      <c r="Y55" s="92">
        <f t="shared" si="0"/>
        <v>33</v>
      </c>
    </row>
    <row r="56" spans="1:25" ht="23.1" customHeight="1" x14ac:dyDescent="0.25">
      <c r="A56" s="4">
        <v>50</v>
      </c>
      <c r="B56" s="15" t="str">
        <f>IF('DATA SISWA'!C62=0,"",'DATA SISWA'!C62)</f>
        <v/>
      </c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8">
        <f t="shared" si="3"/>
        <v>0</v>
      </c>
      <c r="X56" s="16" t="str">
        <f t="shared" si="4"/>
        <v/>
      </c>
      <c r="Y56" s="5">
        <f t="shared" si="0"/>
        <v>33</v>
      </c>
    </row>
    <row r="57" spans="1:25" ht="23.1" customHeight="1" x14ac:dyDescent="0.25">
      <c r="A57" s="84">
        <v>51</v>
      </c>
      <c r="B57" s="85" t="str">
        <f>IF('DATA SISWA'!C63=0,"",'DATA SISWA'!C63)</f>
        <v/>
      </c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90">
        <f>SUM(C57:T57)</f>
        <v>0</v>
      </c>
      <c r="X57" s="91" t="str">
        <f>IF(ISERROR(AVERAGE(C57:T57)),"",AVERAGE(C57:T57))</f>
        <v/>
      </c>
      <c r="Y57" s="92">
        <f t="shared" si="0"/>
        <v>33</v>
      </c>
    </row>
    <row r="58" spans="1:25" ht="23.1" customHeight="1" x14ac:dyDescent="0.25">
      <c r="A58" s="4">
        <v>52</v>
      </c>
      <c r="B58" s="15" t="str">
        <f>IF('DATA SISWA'!C64=0,"",'DATA SISWA'!C64)</f>
        <v/>
      </c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8">
        <f>SUM(C58:T58)</f>
        <v>0</v>
      </c>
      <c r="X58" s="16" t="str">
        <f>IF(ISERROR(AVERAGE(C58:T58)),"",AVERAGE(C58:T58))</f>
        <v/>
      </c>
      <c r="Y58" s="5">
        <f t="shared" si="0"/>
        <v>33</v>
      </c>
    </row>
    <row r="59" spans="1:25" ht="23.1" customHeight="1" x14ac:dyDescent="0.25">
      <c r="A59" s="84">
        <v>53</v>
      </c>
      <c r="B59" s="85" t="str">
        <f>IF('DATA SISWA'!C65=0,"",'DATA SISWA'!C65)</f>
        <v/>
      </c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90">
        <f t="shared" ref="W59:W60" si="5">SUM(C59:T59)</f>
        <v>0</v>
      </c>
      <c r="X59" s="91" t="str">
        <f t="shared" ref="X59:X60" si="6">IF(ISERROR(AVERAGE(C59:T59)),"",AVERAGE(C59:T59))</f>
        <v/>
      </c>
      <c r="Y59" s="92">
        <f t="shared" si="0"/>
        <v>33</v>
      </c>
    </row>
    <row r="60" spans="1:25" ht="23.1" customHeight="1" x14ac:dyDescent="0.25">
      <c r="A60" s="4">
        <v>54</v>
      </c>
      <c r="B60" s="15" t="str">
        <f>IF('DATA SISWA'!C66=0,"",'DATA SISWA'!C66)</f>
        <v/>
      </c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8">
        <f t="shared" si="5"/>
        <v>0</v>
      </c>
      <c r="X60" s="16" t="str">
        <f t="shared" si="6"/>
        <v/>
      </c>
      <c r="Y60" s="5">
        <f t="shared" si="0"/>
        <v>33</v>
      </c>
    </row>
    <row r="61" spans="1:25" ht="23.1" customHeight="1" x14ac:dyDescent="0.25">
      <c r="A61" s="84">
        <v>55</v>
      </c>
      <c r="B61" s="85" t="str">
        <f>IF('DATA SISWA'!C67=0,"",'DATA SISWA'!C67)</f>
        <v/>
      </c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90">
        <f>SUM(C61:T61)</f>
        <v>0</v>
      </c>
      <c r="X61" s="91" t="str">
        <f>IF(ISERROR(AVERAGE(C61:T61)),"",AVERAGE(C61:T61))</f>
        <v/>
      </c>
      <c r="Y61" s="92">
        <f t="shared" si="0"/>
        <v>33</v>
      </c>
    </row>
    <row r="62" spans="1:25" ht="23.1" customHeight="1" x14ac:dyDescent="0.25">
      <c r="A62" s="4">
        <v>56</v>
      </c>
      <c r="B62" s="15" t="str">
        <f>IF('DATA SISWA'!C68=0,"",'DATA SISWA'!C68)</f>
        <v/>
      </c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8">
        <f>SUM(C62:T62)</f>
        <v>0</v>
      </c>
      <c r="X62" s="16" t="str">
        <f>IF(ISERROR(AVERAGE(C62:T62)),"",AVERAGE(C62:T62))</f>
        <v/>
      </c>
      <c r="Y62" s="5">
        <f t="shared" si="0"/>
        <v>33</v>
      </c>
    </row>
    <row r="63" spans="1:25" ht="23.1" customHeight="1" x14ac:dyDescent="0.25">
      <c r="A63" s="84">
        <v>57</v>
      </c>
      <c r="B63" s="85" t="str">
        <f>IF('DATA SISWA'!C69=0,"",'DATA SISWA'!C69)</f>
        <v/>
      </c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90">
        <f t="shared" ref="W63" si="7">SUM(C63:T63)</f>
        <v>0</v>
      </c>
      <c r="X63" s="91" t="str">
        <f t="shared" ref="X63" si="8">IF(ISERROR(AVERAGE(C63:T63)),"",AVERAGE(C63:T63))</f>
        <v/>
      </c>
      <c r="Y63" s="92">
        <f t="shared" si="0"/>
        <v>33</v>
      </c>
    </row>
    <row r="64" spans="1:25" ht="23.1" customHeight="1" x14ac:dyDescent="0.25">
      <c r="A64" s="4">
        <v>58</v>
      </c>
      <c r="B64" s="15" t="str">
        <f>IF('DATA SISWA'!C70=0,"",'DATA SISWA'!C70)</f>
        <v/>
      </c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8">
        <f>SUM(C64:T64)</f>
        <v>0</v>
      </c>
      <c r="X64" s="16" t="str">
        <f>IF(ISERROR(AVERAGE(C64:T64)),"",AVERAGE(C64:T64))</f>
        <v/>
      </c>
      <c r="Y64" s="5">
        <f t="shared" si="0"/>
        <v>33</v>
      </c>
    </row>
    <row r="65" spans="1:25" ht="23.1" customHeight="1" x14ac:dyDescent="0.25">
      <c r="A65" s="84">
        <v>59</v>
      </c>
      <c r="B65" s="85" t="str">
        <f>IF('DATA SISWA'!C71=0,"",'DATA SISWA'!C71)</f>
        <v/>
      </c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90">
        <f>SUM(C65:T65)</f>
        <v>0</v>
      </c>
      <c r="X65" s="91" t="str">
        <f>IF(ISERROR(AVERAGE(C65:T65)),"",AVERAGE(C65:T65))</f>
        <v/>
      </c>
      <c r="Y65" s="92">
        <f t="shared" si="0"/>
        <v>33</v>
      </c>
    </row>
    <row r="66" spans="1:25" ht="23.1" customHeight="1" x14ac:dyDescent="0.25">
      <c r="A66" s="4">
        <v>60</v>
      </c>
      <c r="B66" s="15" t="str">
        <f>IF('DATA SISWA'!C72=0,"",'DATA SISWA'!C72)</f>
        <v/>
      </c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8">
        <f>SUM(C66:T66)</f>
        <v>0</v>
      </c>
      <c r="X66" s="16" t="str">
        <f>IF(ISERROR(AVERAGE(C66:T66)),"",AVERAGE(C66:T66))</f>
        <v/>
      </c>
      <c r="Y66" s="5">
        <f t="shared" si="0"/>
        <v>33</v>
      </c>
    </row>
  </sheetData>
  <sheetProtection algorithmName="SHA-512" hashValue="mtsrMeIz8EbyBpwE/5STWPTOCffx5IYiwH5WPYdSJmyrhEAxy+mE7jA5omjYZk3RGaDBg2ezuhCAXx36ewQc6w==" saltValue="aGA6oBGX3TQblXK8J5Iq9g==" spinCount="100000" sheet="1" objects="1" scenarios="1"/>
  <protectedRanges>
    <protectedRange sqref="C5:V5" name="EDIT MP"/>
    <protectedRange sqref="C7:V66" name="EDIT NILAI"/>
  </protectedRanges>
  <mergeCells count="7">
    <mergeCell ref="A1:Y1"/>
    <mergeCell ref="A2:Y2"/>
    <mergeCell ref="A5:A6"/>
    <mergeCell ref="B5:B6"/>
    <mergeCell ref="Y5:Y6"/>
    <mergeCell ref="P3:U3"/>
    <mergeCell ref="V3:Y3"/>
  </mergeCells>
  <pageMargins left="0.55118110236220474" right="0.31496062992125984" top="0.31496062992125984" bottom="0.19685039370078741" header="0.51181102362204722" footer="0.27559055118110237"/>
  <pageSetup paperSize="256" scale="66"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7:L54"/>
  <sheetViews>
    <sheetView view="pageBreakPreview" topLeftCell="A12" zoomScale="85" zoomScaleNormal="100" zoomScaleSheetLayoutView="85" workbookViewId="0">
      <selection activeCell="G21" sqref="G21"/>
    </sheetView>
  </sheetViews>
  <sheetFormatPr defaultRowHeight="18.75" x14ac:dyDescent="0.3"/>
  <cols>
    <col min="1" max="1" width="6.28515625" style="22" customWidth="1"/>
    <col min="2" max="2" width="3.42578125" style="24" customWidth="1"/>
    <col min="3" max="3" width="16.5703125" style="35" customWidth="1"/>
    <col min="4" max="4" width="5" style="35" customWidth="1"/>
    <col min="5" max="5" width="7.7109375" style="24" customWidth="1"/>
    <col min="6" max="6" width="17.5703125" style="25" customWidth="1"/>
    <col min="7" max="7" width="10.85546875" style="22" customWidth="1"/>
    <col min="8" max="8" width="32.5703125" style="22" customWidth="1"/>
    <col min="9" max="9" width="4.5703125" style="22" customWidth="1"/>
    <col min="10" max="10" width="23.28515625" style="22" customWidth="1"/>
    <col min="11" max="11" width="9.140625" style="22"/>
    <col min="12" max="12" width="10.7109375" style="22" bestFit="1" customWidth="1"/>
    <col min="13" max="16384" width="9.140625" style="22"/>
  </cols>
  <sheetData>
    <row r="7" spans="1:10" ht="12.75" customHeight="1" x14ac:dyDescent="0.3"/>
    <row r="8" spans="1:10" ht="21" customHeight="1" x14ac:dyDescent="0.3">
      <c r="A8" s="168" t="s">
        <v>42</v>
      </c>
      <c r="B8" s="168"/>
      <c r="C8" s="168"/>
      <c r="D8" s="168"/>
      <c r="E8" s="168"/>
      <c r="F8" s="168"/>
      <c r="G8" s="168"/>
      <c r="H8" s="168"/>
    </row>
    <row r="9" spans="1:10" ht="21" customHeight="1" x14ac:dyDescent="0.3">
      <c r="A9" s="168" t="str">
        <f>'DATA SISWA'!J6</f>
        <v>UJIAN TENGAH SEMESTER I (GANJIL)</v>
      </c>
      <c r="B9" s="168"/>
      <c r="C9" s="168"/>
      <c r="D9" s="168"/>
      <c r="E9" s="168"/>
      <c r="F9" s="168"/>
      <c r="G9" s="168"/>
      <c r="H9" s="168"/>
    </row>
    <row r="10" spans="1:10" ht="21" customHeight="1" x14ac:dyDescent="0.3">
      <c r="A10" s="168" t="str">
        <f>'DATA SISWA'!J7</f>
        <v>TAHUN PELAJARAN 2017/2018</v>
      </c>
      <c r="B10" s="168"/>
      <c r="C10" s="168"/>
      <c r="D10" s="168"/>
      <c r="E10" s="168"/>
      <c r="F10" s="168"/>
      <c r="G10" s="168"/>
      <c r="H10" s="168"/>
      <c r="J10" s="177"/>
    </row>
    <row r="11" spans="1:10" ht="16.5" customHeight="1" x14ac:dyDescent="0.3">
      <c r="A11" s="23"/>
      <c r="J11" s="178"/>
    </row>
    <row r="12" spans="1:10" ht="18" customHeight="1" x14ac:dyDescent="0.3">
      <c r="A12" s="23" t="s">
        <v>43</v>
      </c>
      <c r="D12" s="26" t="s">
        <v>44</v>
      </c>
      <c r="E12" s="164" t="str">
        <f>VLOOKUP($J$12,'DATA SISWA'!$A$13:$J$72,3,0)</f>
        <v>AININ NAFISA FEBRIYANTI</v>
      </c>
      <c r="F12" s="164"/>
      <c r="G12" s="164"/>
      <c r="H12" s="164"/>
      <c r="J12" s="156">
        <v>4</v>
      </c>
    </row>
    <row r="13" spans="1:10" ht="18" customHeight="1" x14ac:dyDescent="0.3">
      <c r="A13" s="23" t="s">
        <v>45</v>
      </c>
      <c r="D13" s="26" t="s">
        <v>44</v>
      </c>
      <c r="E13" s="164" t="str">
        <f>VLOOKUP($J$12,'DATA SISWA'!$A$13:$J$72,10,0)</f>
        <v>Lumajang, 12 Februari 2008</v>
      </c>
      <c r="F13" s="164"/>
      <c r="G13" s="164"/>
      <c r="H13" s="164"/>
      <c r="J13" s="156"/>
    </row>
    <row r="14" spans="1:10" ht="18" customHeight="1" x14ac:dyDescent="0.3">
      <c r="A14" s="23" t="s">
        <v>46</v>
      </c>
      <c r="D14" s="26" t="s">
        <v>44</v>
      </c>
      <c r="E14" s="164" t="str">
        <f>VLOOKUP($J$12,'DATA SISWA'!$A$13:$J$72,6,0)</f>
        <v>SUBOWO</v>
      </c>
      <c r="F14" s="164"/>
      <c r="G14" s="164"/>
      <c r="H14" s="164"/>
      <c r="J14" s="156"/>
    </row>
    <row r="15" spans="1:10" ht="18" customHeight="1" x14ac:dyDescent="0.3">
      <c r="A15" s="23" t="s">
        <v>47</v>
      </c>
      <c r="D15" s="26" t="s">
        <v>44</v>
      </c>
      <c r="E15" s="164">
        <f>VLOOKUP($J$12,'DATA SISWA'!$A$13:$J$72,2,0)</f>
        <v>4333</v>
      </c>
      <c r="F15" s="164"/>
      <c r="G15" s="164"/>
      <c r="H15" s="164"/>
    </row>
    <row r="16" spans="1:10" ht="18" customHeight="1" x14ac:dyDescent="0.3">
      <c r="A16" s="23"/>
      <c r="E16" s="26"/>
      <c r="F16" s="27"/>
      <c r="G16" s="27"/>
      <c r="H16" s="27"/>
    </row>
    <row r="17" spans="1:12" ht="18" customHeight="1" x14ac:dyDescent="0.3">
      <c r="A17" s="157" t="s">
        <v>8</v>
      </c>
      <c r="B17" s="158" t="s">
        <v>48</v>
      </c>
      <c r="C17" s="159"/>
      <c r="D17" s="159"/>
      <c r="E17" s="160"/>
      <c r="F17" s="7" t="s">
        <v>49</v>
      </c>
      <c r="G17" s="157" t="s">
        <v>1</v>
      </c>
      <c r="H17" s="157" t="s">
        <v>50</v>
      </c>
    </row>
    <row r="18" spans="1:12" ht="18" customHeight="1" x14ac:dyDescent="0.3">
      <c r="A18" s="157"/>
      <c r="B18" s="161"/>
      <c r="C18" s="162"/>
      <c r="D18" s="162"/>
      <c r="E18" s="163"/>
      <c r="F18" s="8" t="s">
        <v>41</v>
      </c>
      <c r="G18" s="157"/>
      <c r="H18" s="157"/>
    </row>
    <row r="19" spans="1:12" ht="15.95" customHeight="1" x14ac:dyDescent="0.3">
      <c r="A19" s="9" t="s">
        <v>51</v>
      </c>
      <c r="B19" s="169" t="s">
        <v>53</v>
      </c>
      <c r="C19" s="170"/>
      <c r="D19" s="170"/>
      <c r="E19" s="171"/>
      <c r="F19" s="10"/>
      <c r="G19" s="9"/>
      <c r="H19" s="10"/>
    </row>
    <row r="20" spans="1:12" ht="15.95" customHeight="1" x14ac:dyDescent="0.3">
      <c r="A20" s="9"/>
      <c r="B20" s="32" t="s">
        <v>60</v>
      </c>
      <c r="C20" s="165" t="str">
        <f>IF(KKM!B3=0,"",KKM!B3)</f>
        <v>Alquran Hadits</v>
      </c>
      <c r="D20" s="165"/>
      <c r="E20" s="166"/>
      <c r="F20" s="11" t="str">
        <f>IF(VLOOKUP($J$12,'REKAP NILAI'!$A$7:$Y$41,3,0)=0,"",VLOOKUP($J$12,'REKAP NILAI'!$A$7:$Y$41,3,0))</f>
        <v/>
      </c>
      <c r="G20" s="9">
        <f>IF(KKM!D3="","",KKM!D3)</f>
        <v>70</v>
      </c>
      <c r="H20" s="93" t="str">
        <f>IFERROR(IF(L20&lt;G20,"Tidak Tuntas",IF(L20&gt;G20,"Tuntas",IF(L20="","",))),"")</f>
        <v/>
      </c>
      <c r="L20" s="22" t="e">
        <f>F20+1</f>
        <v>#VALUE!</v>
      </c>
    </row>
    <row r="21" spans="1:12" ht="15.95" customHeight="1" x14ac:dyDescent="0.3">
      <c r="A21" s="9"/>
      <c r="B21" s="32" t="s">
        <v>61</v>
      </c>
      <c r="C21" s="165" t="str">
        <f>IF(KKM!B4=0,"",KKM!B4)</f>
        <v>Aqidah Akhlak</v>
      </c>
      <c r="D21" s="165"/>
      <c r="E21" s="166"/>
      <c r="F21" s="11">
        <f>IF(VLOOKUP($J$12,'REKAP NILAI'!$A$7:$Y$41,4,0)=0,"",VLOOKUP($J$12,'REKAP NILAI'!$A$7:$Y$41,4,0))</f>
        <v>72</v>
      </c>
      <c r="G21" s="9">
        <f>IF(KKM!D4="","",KKM!D4)</f>
        <v>70</v>
      </c>
      <c r="H21" s="93" t="str">
        <f t="shared" ref="H21:H41" si="0">IFERROR(IF(L21&lt;G21,"Tidak Tuntas",IF(L21&gt;G21,"Tuntas",IF(L21="","",))),"")</f>
        <v>Tuntas</v>
      </c>
      <c r="L21" s="22">
        <f t="shared" ref="L21:L41" si="1">F21+1</f>
        <v>73</v>
      </c>
    </row>
    <row r="22" spans="1:12" ht="15.95" customHeight="1" x14ac:dyDescent="0.3">
      <c r="A22" s="9"/>
      <c r="B22" s="32" t="s">
        <v>62</v>
      </c>
      <c r="C22" s="165" t="str">
        <f>IF(KKM!B5=0,"",KKM!B5)</f>
        <v>Fiqih</v>
      </c>
      <c r="D22" s="165"/>
      <c r="E22" s="166"/>
      <c r="F22" s="11" t="str">
        <f>IF(VLOOKUP($J$12,'REKAP NILAI'!$A$7:$Y$41,5,0)=0,"",VLOOKUP($J$12,'REKAP NILAI'!$A$7:$Y$41,5,0))</f>
        <v/>
      </c>
      <c r="G22" s="9">
        <f>IF(KKM!D5="","",KKM!D5)</f>
        <v>70</v>
      </c>
      <c r="H22" s="93" t="str">
        <f t="shared" si="0"/>
        <v/>
      </c>
      <c r="L22" s="22" t="e">
        <f t="shared" si="1"/>
        <v>#VALUE!</v>
      </c>
    </row>
    <row r="23" spans="1:12" ht="15.95" customHeight="1" x14ac:dyDescent="0.3">
      <c r="A23" s="9"/>
      <c r="B23" s="32" t="s">
        <v>63</v>
      </c>
      <c r="C23" s="165" t="str">
        <f>IF(KKM!B6=0,"",KKM!B6)</f>
        <v>Sejarah Kebudayaan Islam</v>
      </c>
      <c r="D23" s="165"/>
      <c r="E23" s="166"/>
      <c r="F23" s="11">
        <f>IF(VLOOKUP($J$12,'REKAP NILAI'!$A$7:$Y$41,6,0)=0,"",VLOOKUP($J$12,'REKAP NILAI'!$A$7:$Y$41,6,0))</f>
        <v>56</v>
      </c>
      <c r="G23" s="9">
        <f>IF(KKM!D6="","",KKM!D6)</f>
        <v>70</v>
      </c>
      <c r="H23" s="93" t="str">
        <f t="shared" si="0"/>
        <v>Tidak Tuntas</v>
      </c>
      <c r="L23" s="22">
        <f t="shared" si="1"/>
        <v>57</v>
      </c>
    </row>
    <row r="24" spans="1:12" ht="15.95" customHeight="1" x14ac:dyDescent="0.3">
      <c r="A24" s="9">
        <v>2</v>
      </c>
      <c r="B24" s="172" t="str">
        <f>KKM!A7</f>
        <v>PPKn</v>
      </c>
      <c r="C24" s="173"/>
      <c r="D24" s="173"/>
      <c r="E24" s="174"/>
      <c r="F24" s="11">
        <f>IF(VLOOKUP($J$12,'REKAP NILAI'!$A$7:$Y$41,7,0)=0,"",VLOOKUP($J$12,'REKAP NILAI'!$A$7:$Y$41,7,0))</f>
        <v>65</v>
      </c>
      <c r="G24" s="9">
        <f>IF(KKM!D7="","",KKM!D7)</f>
        <v>70</v>
      </c>
      <c r="H24" s="93" t="str">
        <f t="shared" si="0"/>
        <v>Tidak Tuntas</v>
      </c>
      <c r="L24" s="22">
        <f t="shared" si="1"/>
        <v>66</v>
      </c>
    </row>
    <row r="25" spans="1:12" ht="15.95" customHeight="1" x14ac:dyDescent="0.3">
      <c r="A25" s="9">
        <v>3</v>
      </c>
      <c r="B25" s="172" t="str">
        <f>KKM!A8</f>
        <v>B.Indonesia</v>
      </c>
      <c r="C25" s="173"/>
      <c r="D25" s="173"/>
      <c r="E25" s="174"/>
      <c r="F25" s="11">
        <f>IF(VLOOKUP($J$12,'REKAP NILAI'!$A$7:$Y$41,8,0)=0,"",VLOOKUP($J$12,'REKAP NILAI'!$A$7:$Y$41,8,0))</f>
        <v>70</v>
      </c>
      <c r="G25" s="9">
        <f>IF(KKM!D8="","",KKM!D8)</f>
        <v>70</v>
      </c>
      <c r="H25" s="93" t="str">
        <f t="shared" si="0"/>
        <v>Tuntas</v>
      </c>
      <c r="L25" s="22">
        <f t="shared" si="1"/>
        <v>71</v>
      </c>
    </row>
    <row r="26" spans="1:12" ht="15.95" customHeight="1" x14ac:dyDescent="0.3">
      <c r="A26" s="9">
        <v>4</v>
      </c>
      <c r="B26" s="172" t="str">
        <f>KKM!A9</f>
        <v>B. Arab</v>
      </c>
      <c r="C26" s="173"/>
      <c r="D26" s="173"/>
      <c r="E26" s="174"/>
      <c r="F26" s="11">
        <f>IF(VLOOKUP($J$12,'REKAP NILAI'!$A$7:$Y$41,9,0)=0,"",VLOOKUP($J$12,'REKAP NILAI'!$A$7:$Y$41,9,0))</f>
        <v>70</v>
      </c>
      <c r="G26" s="9">
        <f>IF(KKM!D9="","",KKM!D9)</f>
        <v>70</v>
      </c>
      <c r="H26" s="93" t="str">
        <f t="shared" si="0"/>
        <v>Tuntas</v>
      </c>
      <c r="L26" s="22">
        <f t="shared" si="1"/>
        <v>71</v>
      </c>
    </row>
    <row r="27" spans="1:12" ht="15.95" customHeight="1" x14ac:dyDescent="0.3">
      <c r="A27" s="9">
        <v>5</v>
      </c>
      <c r="B27" s="172" t="str">
        <f>KKM!A10</f>
        <v>Matematika</v>
      </c>
      <c r="C27" s="173"/>
      <c r="D27" s="173"/>
      <c r="E27" s="174"/>
      <c r="F27" s="11" t="str">
        <f>IF(VLOOKUP($J$12,'REKAP NILAI'!$A$7:$Y$41,10,0)=0,"",VLOOKUP($J$12,'REKAP NILAI'!$A$7:$Y$41,10,0))</f>
        <v/>
      </c>
      <c r="G27" s="9">
        <f>IF(KKM!D10="","",KKM!D10)</f>
        <v>70</v>
      </c>
      <c r="H27" s="93" t="str">
        <f t="shared" si="0"/>
        <v/>
      </c>
      <c r="L27" s="22" t="e">
        <f t="shared" si="1"/>
        <v>#VALUE!</v>
      </c>
    </row>
    <row r="28" spans="1:12" ht="15.95" customHeight="1" x14ac:dyDescent="0.3">
      <c r="A28" s="9">
        <v>6</v>
      </c>
      <c r="B28" s="172" t="str">
        <f>KKM!A11</f>
        <v>IPA</v>
      </c>
      <c r="C28" s="173"/>
      <c r="D28" s="173"/>
      <c r="E28" s="174"/>
      <c r="F28" s="11">
        <f>IF(VLOOKUP($J$12,'REKAP NILAI'!$A$7:$Y$41,11,0)=0,"",VLOOKUP($J$12,'REKAP NILAI'!$A$7:$Y$41,11,0))</f>
        <v>75</v>
      </c>
      <c r="G28" s="9">
        <f>IF(KKM!D11="","",KKM!D11)</f>
        <v>70</v>
      </c>
      <c r="H28" s="93" t="str">
        <f t="shared" si="0"/>
        <v>Tuntas</v>
      </c>
      <c r="L28" s="22">
        <f t="shared" si="1"/>
        <v>76</v>
      </c>
    </row>
    <row r="29" spans="1:12" ht="15.95" customHeight="1" x14ac:dyDescent="0.3">
      <c r="A29" s="9">
        <v>7</v>
      </c>
      <c r="B29" s="172" t="str">
        <f>KKM!A12</f>
        <v>IPS</v>
      </c>
      <c r="C29" s="173"/>
      <c r="D29" s="173"/>
      <c r="E29" s="174"/>
      <c r="F29" s="11">
        <f>IF(VLOOKUP($J$12,'REKAP NILAI'!$A$7:$Y$41,12,0)=0,"",VLOOKUP($J$12,'REKAP NILAI'!$A$7:$Y$41,12,0))</f>
        <v>70</v>
      </c>
      <c r="G29" s="9">
        <f>IF(KKM!D12="","",KKM!D12)</f>
        <v>70</v>
      </c>
      <c r="H29" s="93" t="str">
        <f t="shared" si="0"/>
        <v>Tuntas</v>
      </c>
      <c r="L29" s="22">
        <f t="shared" si="1"/>
        <v>71</v>
      </c>
    </row>
    <row r="30" spans="1:12" ht="15.95" customHeight="1" x14ac:dyDescent="0.3">
      <c r="A30" s="9">
        <v>8</v>
      </c>
      <c r="B30" s="172" t="str">
        <f>KKM!A13</f>
        <v>Kertakes</v>
      </c>
      <c r="C30" s="173"/>
      <c r="D30" s="173"/>
      <c r="E30" s="174"/>
      <c r="F30" s="11">
        <f>IF(VLOOKUP($J$12,'REKAP NILAI'!$A$7:$Y$41,13,0)=0,"",VLOOKUP($J$12,'REKAP NILAI'!$A$7:$Y$41,13,0))</f>
        <v>70</v>
      </c>
      <c r="G30" s="9">
        <f>IF(KKM!D13="","",KKM!D13)</f>
        <v>75</v>
      </c>
      <c r="H30" s="93" t="str">
        <f t="shared" si="0"/>
        <v>Tidak Tuntas</v>
      </c>
      <c r="L30" s="22">
        <f t="shared" si="1"/>
        <v>71</v>
      </c>
    </row>
    <row r="31" spans="1:12" ht="15.95" customHeight="1" x14ac:dyDescent="0.3">
      <c r="A31" s="9">
        <v>9</v>
      </c>
      <c r="B31" s="172" t="str">
        <f>KKM!A14</f>
        <v>Penjaskes</v>
      </c>
      <c r="C31" s="173"/>
      <c r="D31" s="173"/>
      <c r="E31" s="174"/>
      <c r="F31" s="11">
        <f>IF(VLOOKUP($J$12,'REKAP NILAI'!$A$7:$Y$41,14,0)=0,"",VLOOKUP($J$12,'REKAP NILAI'!$A$7:$Y$41,14,0))</f>
        <v>75</v>
      </c>
      <c r="G31" s="9">
        <f>IF(KKM!D14="","",KKM!D14)</f>
        <v>75</v>
      </c>
      <c r="H31" s="93" t="str">
        <f t="shared" si="0"/>
        <v>Tuntas</v>
      </c>
      <c r="L31" s="22">
        <f t="shared" si="1"/>
        <v>76</v>
      </c>
    </row>
    <row r="32" spans="1:12" ht="15.95" customHeight="1" x14ac:dyDescent="0.3">
      <c r="A32" s="9">
        <v>10</v>
      </c>
      <c r="B32" s="172" t="str">
        <f>KKM!A15</f>
        <v>Muatan Lokal :</v>
      </c>
      <c r="C32" s="173"/>
      <c r="D32" s="173"/>
      <c r="E32" s="174"/>
      <c r="F32" s="11"/>
      <c r="G32" s="9"/>
      <c r="H32" s="93" t="str">
        <f t="shared" si="0"/>
        <v/>
      </c>
    </row>
    <row r="33" spans="1:12" ht="15.95" customHeight="1" x14ac:dyDescent="0.3">
      <c r="A33" s="12"/>
      <c r="B33" s="32" t="s">
        <v>60</v>
      </c>
      <c r="C33" s="34" t="str">
        <f>IF(KKM!B16=0,"",KKM!B16)</f>
        <v>B. Daerah</v>
      </c>
      <c r="D33" s="34"/>
      <c r="E33" s="33"/>
      <c r="F33" s="11">
        <f>IF(VLOOKUP($J$12,'REKAP NILAI'!$A$7:$Y$41,15,0)=0,"",VLOOKUP($J$12,'REKAP NILAI'!$A$7:$Y$41,15,0))</f>
        <v>36</v>
      </c>
      <c r="G33" s="9">
        <f>IF(KKM!D16="","",KKM!D16)</f>
        <v>70</v>
      </c>
      <c r="H33" s="93" t="str">
        <f t="shared" si="0"/>
        <v>Tidak Tuntas</v>
      </c>
      <c r="L33" s="22">
        <f t="shared" si="1"/>
        <v>37</v>
      </c>
    </row>
    <row r="34" spans="1:12" ht="15.95" customHeight="1" x14ac:dyDescent="0.3">
      <c r="A34" s="12"/>
      <c r="B34" s="32" t="s">
        <v>61</v>
      </c>
      <c r="C34" s="140" t="str">
        <f>IF(KKM!B17=0,"",KKM!B17)</f>
        <v>B. Inggris</v>
      </c>
      <c r="D34" s="34"/>
      <c r="E34" s="33"/>
      <c r="F34" s="11">
        <f>IF(VLOOKUP($J$12,'REKAP NILAI'!$A$7:$Y$41,16,0)=0,"",VLOOKUP($J$12,'REKAP NILAI'!$A$7:$Y$41,16,0))</f>
        <v>60</v>
      </c>
      <c r="G34" s="9">
        <f>IF(KKM!D17="","",KKM!D17)</f>
        <v>65</v>
      </c>
      <c r="H34" s="93" t="str">
        <f t="shared" si="0"/>
        <v>Tidak Tuntas</v>
      </c>
      <c r="L34" s="22">
        <f t="shared" si="1"/>
        <v>61</v>
      </c>
    </row>
    <row r="35" spans="1:12" ht="15.95" customHeight="1" x14ac:dyDescent="0.3">
      <c r="A35" s="12"/>
      <c r="B35" s="32" t="s">
        <v>62</v>
      </c>
      <c r="C35" s="140" t="str">
        <f>IF(KKM!B18=0,"",KKM!B18)</f>
        <v>Aswaja</v>
      </c>
      <c r="D35" s="34"/>
      <c r="E35" s="33"/>
      <c r="F35" s="11" t="str">
        <f>IF(VLOOKUP($J$12,'REKAP NILAI'!$A$7:$Y$41,17,0)=0,"",VLOOKUP($J$12,'REKAP NILAI'!$A$7:$Y$41,17,0))</f>
        <v/>
      </c>
      <c r="G35" s="9">
        <f>IF(KKM!D18="","",KKM!D18)</f>
        <v>70</v>
      </c>
      <c r="H35" s="93" t="str">
        <f t="shared" si="0"/>
        <v/>
      </c>
      <c r="L35" s="22" t="e">
        <f t="shared" si="1"/>
        <v>#VALUE!</v>
      </c>
    </row>
    <row r="36" spans="1:12" ht="15.95" customHeight="1" x14ac:dyDescent="0.3">
      <c r="A36" s="12"/>
      <c r="B36" s="32" t="s">
        <v>63</v>
      </c>
      <c r="C36" s="140" t="str">
        <f>IF(KKM!B19=0,"",KKM!B19)</f>
        <v>Nahwu-Shorof</v>
      </c>
      <c r="D36" s="34"/>
      <c r="E36" s="33"/>
      <c r="F36" s="11">
        <f>IF(VLOOKUP($J$12,'REKAP NILAI'!$A$7:$Y$41,18,0)=0,"",VLOOKUP($J$12,'REKAP NILAI'!$A$7:$Y$41,18,0))</f>
        <v>70</v>
      </c>
      <c r="G36" s="9">
        <f>IF(KKM!D19="","",KKM!D19)</f>
        <v>70</v>
      </c>
      <c r="H36" s="93" t="str">
        <f t="shared" si="0"/>
        <v>Tuntas</v>
      </c>
      <c r="L36" s="22">
        <f t="shared" si="1"/>
        <v>71</v>
      </c>
    </row>
    <row r="37" spans="1:12" ht="15.95" customHeight="1" x14ac:dyDescent="0.3">
      <c r="A37" s="9">
        <v>11</v>
      </c>
      <c r="B37" s="169" t="str">
        <f>IFERROR([1]Server!B37,"")</f>
        <v>Ektrakurikuler</v>
      </c>
      <c r="C37" s="170"/>
      <c r="D37" s="170"/>
      <c r="E37" s="171"/>
      <c r="F37" s="11"/>
      <c r="G37" s="9"/>
      <c r="H37" s="93" t="str">
        <f t="shared" si="0"/>
        <v/>
      </c>
    </row>
    <row r="38" spans="1:12" ht="15.95" customHeight="1" x14ac:dyDescent="0.3">
      <c r="A38" s="12"/>
      <c r="B38" s="32" t="str">
        <f>IFERROR([1]Server!B38,"")</f>
        <v>a.</v>
      </c>
      <c r="C38" s="165" t="str">
        <f>IF('REKAP NILAI'!S5=0,"",'REKAP NILAI'!S5)</f>
        <v>TIK</v>
      </c>
      <c r="D38" s="165"/>
      <c r="E38" s="166"/>
      <c r="F38" s="11" t="str">
        <f>IF(VLOOKUP($J$12,'REKAP NILAI'!$A$7:$Y$41,19,0)=0,"",VLOOKUP($J$12,'REKAP NILAI'!$A$7:$Y$41,19,0))</f>
        <v/>
      </c>
      <c r="G38" s="9" t="str">
        <f>IF(KKM!D22="","",KKM!D22)</f>
        <v/>
      </c>
      <c r="H38" s="93" t="str">
        <f t="shared" si="0"/>
        <v/>
      </c>
      <c r="L38" s="22" t="e">
        <f t="shared" si="1"/>
        <v>#VALUE!</v>
      </c>
    </row>
    <row r="39" spans="1:12" ht="15.95" customHeight="1" x14ac:dyDescent="0.3">
      <c r="A39" s="12"/>
      <c r="B39" s="32" t="str">
        <f>IFERROR([1]Server!B39,"")</f>
        <v>b.</v>
      </c>
      <c r="C39" s="165" t="str">
        <f>IF('REKAP NILAI'!T5=0,"",'REKAP NILAI'!T5)</f>
        <v>Ulangan</v>
      </c>
      <c r="D39" s="165"/>
      <c r="E39" s="166"/>
      <c r="F39" s="11" t="str">
        <f>IF(VLOOKUP($J$12,'REKAP NILAI'!$A$7:$Y$41,20,0)=0,"",VLOOKUP($J$12,'REKAP NILAI'!$A$7:$Y$41,20,0))</f>
        <v/>
      </c>
      <c r="G39" s="9" t="str">
        <f>IF(KKM!D23="","",KKM!D23)</f>
        <v/>
      </c>
      <c r="H39" s="93" t="str">
        <f t="shared" si="0"/>
        <v/>
      </c>
      <c r="L39" s="22" t="e">
        <f t="shared" si="1"/>
        <v>#VALUE!</v>
      </c>
    </row>
    <row r="40" spans="1:12" ht="15.95" customHeight="1" x14ac:dyDescent="0.3">
      <c r="A40" s="12"/>
      <c r="B40" s="32" t="str">
        <f>IFERROR([1]Server!B40,"")</f>
        <v>c.</v>
      </c>
      <c r="C40" s="165" t="str">
        <f>IF('REKAP NILAI'!U5=0,"",'REKAP NILAI'!U5)</f>
        <v/>
      </c>
      <c r="D40" s="165"/>
      <c r="E40" s="166"/>
      <c r="F40" s="11" t="str">
        <f>IF(VLOOKUP($J$12,'REKAP NILAI'!$A$7:$Y$41,21,0)=0,"",VLOOKUP($J$12,'REKAP NILAI'!$A$7:$Y$41,21,0))</f>
        <v/>
      </c>
      <c r="G40" s="9" t="str">
        <f>IF(KKM!D24="","",KKM!D24)</f>
        <v/>
      </c>
      <c r="H40" s="93" t="str">
        <f t="shared" si="0"/>
        <v/>
      </c>
      <c r="L40" s="22" t="e">
        <f t="shared" si="1"/>
        <v>#VALUE!</v>
      </c>
    </row>
    <row r="41" spans="1:12" ht="15.95" customHeight="1" x14ac:dyDescent="0.3">
      <c r="A41" s="12"/>
      <c r="B41" s="32" t="str">
        <f>IFERROR([1]Server!B41,"")</f>
        <v>d.</v>
      </c>
      <c r="C41" s="165" t="str">
        <f>IF('REKAP NILAI'!V5=0,"",'REKAP NILAI'!V5)</f>
        <v/>
      </c>
      <c r="D41" s="165"/>
      <c r="E41" s="166"/>
      <c r="F41" s="11" t="str">
        <f>IF(VLOOKUP($J$12,'REKAP NILAI'!$A$7:$Y$41,22,0)=0,"",VLOOKUP($J$12,'REKAP NILAI'!$A$7:$Y$41,22,0))</f>
        <v/>
      </c>
      <c r="G41" s="9" t="str">
        <f>IF(KKM!D25="","",KKM!D25)</f>
        <v/>
      </c>
      <c r="H41" s="93" t="str">
        <f t="shared" si="0"/>
        <v/>
      </c>
      <c r="L41" s="22" t="e">
        <f t="shared" si="1"/>
        <v>#VALUE!</v>
      </c>
    </row>
    <row r="42" spans="1:12" ht="18" customHeight="1" x14ac:dyDescent="0.3">
      <c r="A42" s="12"/>
      <c r="B42" s="153" t="str">
        <f>IFERROR([1]Server!B42,"")</f>
        <v>JUMLAH</v>
      </c>
      <c r="C42" s="154">
        <f>IFERROR([1]Server!C43,"")</f>
        <v>0</v>
      </c>
      <c r="D42" s="154"/>
      <c r="E42" s="155">
        <f>IFERROR([1]Server!D43,"")</f>
        <v>0</v>
      </c>
      <c r="F42" s="175">
        <f>VLOOKUP($J$12,'REKAP NILAI'!$A$7:$Y$41,23,0)</f>
        <v>789</v>
      </c>
      <c r="G42" s="176"/>
      <c r="H42" s="134"/>
      <c r="L42" s="22">
        <f>F42+1</f>
        <v>790</v>
      </c>
    </row>
    <row r="43" spans="1:12" ht="18" customHeight="1" x14ac:dyDescent="0.3">
      <c r="A43" s="12"/>
      <c r="B43" s="153" t="str">
        <f>[1]Server!B43</f>
        <v>RATA-RATA</v>
      </c>
      <c r="C43" s="154"/>
      <c r="D43" s="154"/>
      <c r="E43" s="155"/>
      <c r="F43" s="57">
        <f>VLOOKUP($J$12,'REKAP NILAI'!$A$7:$Y$41,24,0)</f>
        <v>65.75</v>
      </c>
      <c r="G43" s="13" t="str">
        <f>[1]Server!F43</f>
        <v>RANGKING :</v>
      </c>
      <c r="H43" s="11">
        <f>VLOOKUP($J$12,'REKAP NILAI'!$A$7:$Y$41,25,0)</f>
        <v>12</v>
      </c>
    </row>
    <row r="44" spans="1:12" ht="18" customHeight="1" x14ac:dyDescent="0.3">
      <c r="A44" s="28"/>
      <c r="B44" s="29"/>
      <c r="C44" s="36"/>
      <c r="D44" s="36"/>
      <c r="E44" s="29"/>
      <c r="F44" s="30"/>
      <c r="G44" s="28"/>
      <c r="H44" s="28"/>
    </row>
    <row r="45" spans="1:12" ht="18" customHeight="1" x14ac:dyDescent="0.3">
      <c r="A45" s="6" t="s">
        <v>52</v>
      </c>
      <c r="B45" s="28"/>
      <c r="C45" s="37"/>
      <c r="D45" s="37"/>
      <c r="E45" s="28"/>
      <c r="F45" s="28"/>
      <c r="G45" s="28"/>
      <c r="H45" s="28"/>
    </row>
    <row r="46" spans="1:12" ht="18" customHeight="1" x14ac:dyDescent="0.3">
      <c r="A46" s="167" t="str">
        <f>VLOOKUP($J$12,'DATA SISWA'!$A$13:$J$72,7,0)</f>
        <v>Jangan malas belajar, Tingkatkan nilaimu!</v>
      </c>
      <c r="B46" s="167"/>
      <c r="C46" s="167"/>
      <c r="D46" s="167"/>
      <c r="E46" s="167"/>
      <c r="F46" s="167"/>
      <c r="G46" s="167"/>
      <c r="H46" s="28"/>
    </row>
    <row r="47" spans="1:12" ht="18" customHeight="1" x14ac:dyDescent="0.3">
      <c r="A47" s="167" t="str">
        <f>VLOOKUP($J$12,'DATA SISWA'!$A$13:$J$72,8,0)</f>
        <v>-</v>
      </c>
      <c r="B47" s="167"/>
      <c r="C47" s="167"/>
      <c r="D47" s="167"/>
      <c r="E47" s="167"/>
      <c r="F47" s="167"/>
      <c r="G47" s="167"/>
      <c r="H47" s="28"/>
    </row>
    <row r="48" spans="1:12" ht="13.5" customHeight="1" x14ac:dyDescent="0.3">
      <c r="A48" s="28"/>
      <c r="B48" s="28"/>
      <c r="C48" s="37"/>
      <c r="D48" s="37"/>
      <c r="E48" s="28"/>
      <c r="F48" s="28"/>
      <c r="H48" s="14" t="str">
        <f>'DATA SISWA'!E9</f>
        <v>Labruk kidul, 31 Oktober 2017</v>
      </c>
    </row>
    <row r="49" spans="1:8" ht="18" customHeight="1" x14ac:dyDescent="0.3">
      <c r="A49" s="28"/>
      <c r="B49" s="56" t="s">
        <v>93</v>
      </c>
      <c r="E49" s="28"/>
      <c r="F49" s="76" t="s">
        <v>103</v>
      </c>
      <c r="H49" s="14" t="str">
        <f>'DATA SISWA'!J5</f>
        <v>WALI KELAS IV (EMPAT) A</v>
      </c>
    </row>
    <row r="50" spans="1:8" ht="18" customHeight="1" x14ac:dyDescent="0.3">
      <c r="A50" s="28"/>
      <c r="B50" s="28"/>
      <c r="C50" s="38"/>
      <c r="D50" s="38"/>
      <c r="E50" s="28"/>
      <c r="F50" s="28"/>
      <c r="H50" s="28"/>
    </row>
    <row r="51" spans="1:8" ht="18" customHeight="1" x14ac:dyDescent="0.3">
      <c r="A51" s="28"/>
      <c r="B51" s="28"/>
      <c r="C51" s="38"/>
      <c r="D51" s="38"/>
      <c r="E51" s="28"/>
      <c r="F51" s="28"/>
      <c r="H51" s="28"/>
    </row>
    <row r="52" spans="1:8" ht="18" customHeight="1" x14ac:dyDescent="0.3">
      <c r="A52" s="28"/>
      <c r="B52" s="28"/>
      <c r="C52" s="39"/>
      <c r="D52" s="39"/>
      <c r="E52" s="28"/>
      <c r="F52" s="28"/>
      <c r="H52" s="28"/>
    </row>
    <row r="53" spans="1:8" ht="18" customHeight="1" x14ac:dyDescent="0.3">
      <c r="A53" s="28"/>
      <c r="B53" s="40" t="str">
        <f>'DATA SISWA'!E3</f>
        <v>SAHRONI,S.Pd.I</v>
      </c>
      <c r="E53" s="28"/>
      <c r="F53" s="76" t="s">
        <v>104</v>
      </c>
      <c r="H53" s="135" t="str">
        <f>'DATA SISWA'!E5</f>
        <v>CHUSNI KURNIAWAN,S.Pd.</v>
      </c>
    </row>
    <row r="54" spans="1:8" x14ac:dyDescent="0.3">
      <c r="F54" s="79" t="s">
        <v>105</v>
      </c>
    </row>
  </sheetData>
  <protectedRanges>
    <protectedRange sqref="H20:H42" name="Range2"/>
    <protectedRange sqref="J12" name="absen"/>
  </protectedRanges>
  <mergeCells count="37">
    <mergeCell ref="J10:J11"/>
    <mergeCell ref="C20:E20"/>
    <mergeCell ref="C21:E21"/>
    <mergeCell ref="C22:E22"/>
    <mergeCell ref="C38:E38"/>
    <mergeCell ref="B32:E32"/>
    <mergeCell ref="B37:E37"/>
    <mergeCell ref="A46:G46"/>
    <mergeCell ref="A47:G47"/>
    <mergeCell ref="A8:H8"/>
    <mergeCell ref="A9:H9"/>
    <mergeCell ref="A10:H10"/>
    <mergeCell ref="B19:E19"/>
    <mergeCell ref="B43:E43"/>
    <mergeCell ref="B24:E24"/>
    <mergeCell ref="B25:E25"/>
    <mergeCell ref="B26:E26"/>
    <mergeCell ref="B27:E27"/>
    <mergeCell ref="B28:E28"/>
    <mergeCell ref="B29:E29"/>
    <mergeCell ref="F42:G42"/>
    <mergeCell ref="B30:E30"/>
    <mergeCell ref="B31:E31"/>
    <mergeCell ref="B42:E42"/>
    <mergeCell ref="J12:J14"/>
    <mergeCell ref="A17:A18"/>
    <mergeCell ref="B17:E18"/>
    <mergeCell ref="G17:G18"/>
    <mergeCell ref="H17:H18"/>
    <mergeCell ref="E12:H12"/>
    <mergeCell ref="E13:H13"/>
    <mergeCell ref="E14:H14"/>
    <mergeCell ref="E15:H15"/>
    <mergeCell ref="C23:E23"/>
    <mergeCell ref="C39:E39"/>
    <mergeCell ref="C40:E40"/>
    <mergeCell ref="C41:E41"/>
  </mergeCells>
  <pageMargins left="0.19685039370078741" right="0.19685039370078741" top="0.15748031496062992" bottom="0.35433070866141736" header="0.31496062992125984" footer="0.31496062992125984"/>
  <pageSetup paperSize="256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Spinner 1">
              <controlPr defaultSize="0" autoPict="0">
                <anchor moveWithCells="1" sizeWithCells="1">
                  <from>
                    <xdr:col>10</xdr:col>
                    <xdr:colOff>209550</xdr:colOff>
                    <xdr:row>10</xdr:row>
                    <xdr:rowOff>200025</xdr:rowOff>
                  </from>
                  <to>
                    <xdr:col>11</xdr:col>
                    <xdr:colOff>390525</xdr:colOff>
                    <xdr:row>13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D2" sqref="D2"/>
    </sheetView>
  </sheetViews>
  <sheetFormatPr defaultRowHeight="15" x14ac:dyDescent="0.25"/>
  <cols>
    <col min="1" max="1" width="11.42578125" style="58" customWidth="1"/>
    <col min="2" max="3" width="9.140625" style="58"/>
    <col min="4" max="4" width="12.85546875" style="58" customWidth="1"/>
    <col min="5" max="16384" width="9.140625" style="58"/>
  </cols>
  <sheetData>
    <row r="1" spans="1:4" s="59" customFormat="1" ht="21" x14ac:dyDescent="0.35">
      <c r="A1" s="59" t="s">
        <v>94</v>
      </c>
      <c r="B1" s="59">
        <v>5</v>
      </c>
      <c r="C1" s="59">
        <f>D1*B1</f>
        <v>25</v>
      </c>
      <c r="D1" s="61">
        <v>5</v>
      </c>
    </row>
    <row r="2" spans="1:4" s="59" customFormat="1" ht="21" x14ac:dyDescent="0.35">
      <c r="A2" s="59" t="s">
        <v>95</v>
      </c>
      <c r="B2" s="59">
        <v>10</v>
      </c>
      <c r="C2" s="59">
        <f>D2/10*B2</f>
        <v>14</v>
      </c>
      <c r="D2" s="61">
        <v>14</v>
      </c>
    </row>
    <row r="3" spans="1:4" s="59" customFormat="1" ht="21" x14ac:dyDescent="0.35">
      <c r="D3" s="60">
        <f>SUM(C1:C2)</f>
        <v>39</v>
      </c>
    </row>
  </sheetData>
  <sheetProtection algorithmName="SHA-512" hashValue="CsgXD4vjOhIP2G38aQBY39D3VkIJm2LMFMW3hfzkV5cHcPk7A62e8v+ibIOZmBzmtE6JXuRH9kr6yX08zApHwQ==" saltValue="gx3zCal8ZdIhwKmfl01nxA==" spinCount="100000" sheet="1" objects="1" scenarios="1"/>
  <protectedRanges>
    <protectedRange sqref="D1:D2" name="Range1"/>
  </protectedRange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H12" sqref="H12"/>
    </sheetView>
  </sheetViews>
  <sheetFormatPr defaultRowHeight="15" x14ac:dyDescent="0.25"/>
  <cols>
    <col min="1" max="2" width="11.42578125" style="58" customWidth="1"/>
    <col min="3" max="3" width="9.140625" style="58"/>
    <col min="4" max="4" width="16.7109375" style="58" bestFit="1" customWidth="1"/>
    <col min="5" max="5" width="16.5703125" style="58" bestFit="1" customWidth="1"/>
    <col min="6" max="16384" width="9.140625" style="58"/>
  </cols>
  <sheetData>
    <row r="1" spans="1:8" ht="23.25" customHeight="1" x14ac:dyDescent="0.25">
      <c r="A1" s="63"/>
      <c r="B1" s="64" t="s">
        <v>97</v>
      </c>
      <c r="C1" s="64" t="s">
        <v>96</v>
      </c>
      <c r="D1" s="65" t="s">
        <v>98</v>
      </c>
      <c r="E1" s="63" t="s">
        <v>99</v>
      </c>
      <c r="F1" s="63" t="s">
        <v>101</v>
      </c>
      <c r="G1" s="63"/>
    </row>
    <row r="2" spans="1:8" s="59" customFormat="1" ht="23.25" customHeight="1" x14ac:dyDescent="0.35">
      <c r="A2" s="66" t="s">
        <v>94</v>
      </c>
      <c r="B2" s="67">
        <v>15</v>
      </c>
      <c r="C2" s="67">
        <v>2</v>
      </c>
      <c r="D2" s="68">
        <f>B2*C2</f>
        <v>30</v>
      </c>
      <c r="E2" s="69">
        <v>12</v>
      </c>
      <c r="F2" s="70" t="s">
        <v>100</v>
      </c>
      <c r="G2" s="70"/>
    </row>
    <row r="3" spans="1:8" s="59" customFormat="1" ht="23.25" customHeight="1" x14ac:dyDescent="0.35">
      <c r="A3" s="66" t="s">
        <v>95</v>
      </c>
      <c r="B3" s="67">
        <v>5</v>
      </c>
      <c r="C3" s="67">
        <v>14</v>
      </c>
      <c r="D3" s="68">
        <f>B3*C3</f>
        <v>70</v>
      </c>
      <c r="E3" s="71">
        <f>SUM(F3:F7)</f>
        <v>38.333333333333336</v>
      </c>
      <c r="F3" s="72">
        <v>14</v>
      </c>
      <c r="G3" s="73">
        <v>1</v>
      </c>
    </row>
    <row r="4" spans="1:8" s="59" customFormat="1" ht="30.75" customHeight="1" x14ac:dyDescent="0.35">
      <c r="A4" s="70"/>
      <c r="B4" s="70"/>
      <c r="C4" s="70"/>
      <c r="D4" s="74" t="s">
        <v>102</v>
      </c>
      <c r="E4" s="75">
        <f>SUM(E2:E3)</f>
        <v>50.333333333333336</v>
      </c>
      <c r="F4" s="72">
        <v>1</v>
      </c>
      <c r="G4" s="73">
        <v>2</v>
      </c>
    </row>
    <row r="5" spans="1:8" ht="23.25" customHeight="1" x14ac:dyDescent="0.25">
      <c r="A5" s="63"/>
      <c r="B5" s="63"/>
      <c r="C5" s="63"/>
      <c r="D5" s="63"/>
      <c r="E5" s="63"/>
      <c r="F5" s="72">
        <v>7</v>
      </c>
      <c r="G5" s="73">
        <v>3</v>
      </c>
    </row>
    <row r="6" spans="1:8" ht="23.25" customHeight="1" x14ac:dyDescent="0.25">
      <c r="A6" s="63"/>
      <c r="B6" s="63"/>
      <c r="C6" s="63"/>
      <c r="D6" s="63"/>
      <c r="E6" s="63"/>
      <c r="F6" s="72">
        <v>3</v>
      </c>
      <c r="G6" s="73">
        <v>4</v>
      </c>
    </row>
    <row r="7" spans="1:8" ht="23.25" customHeight="1" x14ac:dyDescent="0.25">
      <c r="A7" s="63"/>
      <c r="B7" s="63"/>
      <c r="C7" s="63"/>
      <c r="D7" s="63"/>
      <c r="E7" s="63"/>
      <c r="F7" s="72">
        <f>AVERAGE(H7:H9)</f>
        <v>13.333333333333334</v>
      </c>
      <c r="G7" s="73">
        <v>5</v>
      </c>
      <c r="H7" s="62">
        <v>14</v>
      </c>
    </row>
    <row r="8" spans="1:8" x14ac:dyDescent="0.25">
      <c r="H8" s="62">
        <v>14</v>
      </c>
    </row>
    <row r="9" spans="1:8" x14ac:dyDescent="0.25">
      <c r="H9" s="62">
        <v>12</v>
      </c>
    </row>
  </sheetData>
  <sheetProtection algorithmName="SHA-512" hashValue="4RgjLcxHhPPPefXiEeMAW0diUMZm6mqIgpWRmkQpnP5MgnqRxCNwjAA94ojTCiN3cHu0sb0v/3PhuOOm1Ebb5Q==" saltValue="CZJqYE8pU92sFP4W+CMbaQ==" spinCount="100000" sheet="1" objects="1" scenarios="1"/>
  <protectedRanges>
    <protectedRange sqref="E2 F3:F6 H7:H9" name="Range1"/>
  </protectedRange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DATA SISWA</vt:lpstr>
      <vt:lpstr>KKM</vt:lpstr>
      <vt:lpstr>REKAP NILAI</vt:lpstr>
      <vt:lpstr>RAPOR</vt:lpstr>
      <vt:lpstr>HITUNGAN UTS (ABAIKAN)</vt:lpstr>
      <vt:lpstr>HITUNGAN UTS (ABAIKAN) (2)</vt:lpstr>
      <vt:lpstr>'DATA SISWA'!Print_Area</vt:lpstr>
      <vt:lpstr>KKM!Print_Area</vt:lpstr>
      <vt:lpstr>RAPOR!Print_Area</vt:lpstr>
      <vt:lpstr>'REKAP NILAI'!Print_Area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MILKIDi3</dc:creator>
  <cp:lastModifiedBy>chusni kurniawan</cp:lastModifiedBy>
  <cp:lastPrinted>2016-10-27T07:35:24Z</cp:lastPrinted>
  <dcterms:created xsi:type="dcterms:W3CDTF">2015-07-08T05:59:49Z</dcterms:created>
  <dcterms:modified xsi:type="dcterms:W3CDTF">2017-11-01T13:10:58Z</dcterms:modified>
</cp:coreProperties>
</file>